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25" windowWidth="25365" windowHeight="13980" tabRatio="897"/>
  </bookViews>
  <sheets>
    <sheet name="PAGE PRESENTATION" sheetId="10" r:id="rId1"/>
    <sheet name="Notice d'utilisation" sheetId="7" r:id="rId2"/>
    <sheet name="2-CR équilibre" sheetId="1" r:id="rId3"/>
    <sheet name="3-Baisse CA en volume" sheetId="2" r:id="rId4"/>
    <sheet name="4-Baisse CA due à hausse prix" sheetId="3" r:id="rId5"/>
    <sheet name="5-Baisse marge augmentat° SMIC" sheetId="4" r:id="rId6"/>
    <sheet name="6-Augm charges fixes ne  agence" sheetId="5" r:id="rId7"/>
    <sheet name="7-Scénario catastrophe" sheetId="6" r:id="rId8"/>
    <sheet name="8-Augmentation Tx TVA" sheetId="9" r:id="rId9"/>
  </sheets>
  <definedNames>
    <definedName name="Etiquette5_QuandClic" localSheetId="3">'3-Baisse CA en volume'!Etiquette5_QuandClic</definedName>
    <definedName name="Etiquette5_QuandClic" localSheetId="4">'4-Baisse CA due à hausse prix'!Etiquette5_QuandClic</definedName>
    <definedName name="Etiquette5_QuandClic" localSheetId="5">'5-Baisse marge augmentat° SMIC'!Etiquette5_QuandClic</definedName>
    <definedName name="Etiquette5_QuandClic" localSheetId="6">'6-Augm charges fixes ne  agence'!Etiquette5_QuandClic</definedName>
    <definedName name="Etiquette5_QuandClic" localSheetId="7">'7-Scénario catastrophe'!Etiquette5_QuandClic</definedName>
    <definedName name="Etiquette5_QuandClic">[0]!Etiquette5_QuandClic</definedName>
    <definedName name="_xlnm.Print_Area" localSheetId="1">'Notice d''utilisation'!$A$1:$J$40</definedName>
  </definedNames>
  <calcPr calcId="14562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D14" i="2" l="1"/>
  <c r="K13" i="1"/>
  <c r="M13" i="1"/>
  <c r="N13" i="1"/>
  <c r="K12" i="1"/>
  <c r="K11" i="1"/>
  <c r="K10" i="1"/>
  <c r="K9" i="1"/>
  <c r="M9" i="1"/>
  <c r="B12" i="4"/>
  <c r="D12" i="4"/>
  <c r="C12" i="4"/>
  <c r="K11" i="9"/>
  <c r="M11" i="9"/>
  <c r="N11" i="9"/>
  <c r="K12" i="9"/>
  <c r="M12" i="9"/>
  <c r="N12" i="9"/>
  <c r="K13" i="9"/>
  <c r="M13" i="9"/>
  <c r="N13" i="9"/>
  <c r="K14" i="9"/>
  <c r="M14" i="9"/>
  <c r="N14" i="9"/>
  <c r="K10" i="9"/>
  <c r="M10" i="9"/>
  <c r="D10" i="9"/>
  <c r="C10" i="9"/>
  <c r="B10" i="9"/>
  <c r="A21" i="9"/>
  <c r="D20" i="9"/>
  <c r="D21" i="9"/>
  <c r="C20" i="9"/>
  <c r="C21" i="9"/>
  <c r="B20" i="9"/>
  <c r="B21" i="9"/>
  <c r="B19" i="9"/>
  <c r="A20" i="9"/>
  <c r="D10" i="6"/>
  <c r="C10" i="6"/>
  <c r="B10" i="6"/>
  <c r="D9" i="6"/>
  <c r="C9" i="6"/>
  <c r="B9" i="6"/>
  <c r="D19" i="6"/>
  <c r="D18" i="6"/>
  <c r="C19" i="6"/>
  <c r="C20" i="6"/>
  <c r="B19" i="6"/>
  <c r="B18" i="6"/>
  <c r="D21" i="5"/>
  <c r="D22" i="5"/>
  <c r="C21" i="5"/>
  <c r="C20" i="5"/>
  <c r="B21" i="5"/>
  <c r="B20" i="5"/>
  <c r="A20" i="6"/>
  <c r="A19" i="6"/>
  <c r="C12" i="5"/>
  <c r="D12" i="5"/>
  <c r="B11" i="2"/>
  <c r="D11" i="3"/>
  <c r="C11" i="3"/>
  <c r="B11" i="3"/>
  <c r="C21" i="4"/>
  <c r="C22" i="4"/>
  <c r="D21" i="4"/>
  <c r="D20" i="4"/>
  <c r="B21" i="4"/>
  <c r="C20" i="2"/>
  <c r="C21" i="2"/>
  <c r="D20" i="2"/>
  <c r="D21" i="2"/>
  <c r="B20" i="2"/>
  <c r="B19" i="2"/>
  <c r="C20" i="3"/>
  <c r="D20" i="3"/>
  <c r="D19" i="3"/>
  <c r="B20" i="3"/>
  <c r="D18" i="1"/>
  <c r="C18" i="1"/>
  <c r="B18" i="1"/>
  <c r="D11" i="2"/>
  <c r="C11" i="2"/>
  <c r="D46" i="4"/>
  <c r="C46" i="4"/>
  <c r="B46" i="4"/>
  <c r="D45" i="4"/>
  <c r="C45" i="4"/>
  <c r="B45" i="4"/>
  <c r="D42" i="4"/>
  <c r="C42" i="4"/>
  <c r="B42" i="4"/>
  <c r="D41" i="4"/>
  <c r="C41" i="4"/>
  <c r="B41" i="4"/>
  <c r="D40" i="4"/>
  <c r="C40" i="4"/>
  <c r="B40" i="4"/>
  <c r="D39" i="4"/>
  <c r="C39" i="4"/>
  <c r="B39" i="4"/>
  <c r="D38" i="4"/>
  <c r="C38" i="4"/>
  <c r="B38" i="4"/>
  <c r="D37" i="4"/>
  <c r="C37" i="4"/>
  <c r="B37" i="4"/>
  <c r="D36" i="4"/>
  <c r="C36" i="4"/>
  <c r="B36" i="4"/>
  <c r="D35" i="4"/>
  <c r="C35" i="4"/>
  <c r="B35" i="4"/>
  <c r="D34" i="4"/>
  <c r="C34" i="4"/>
  <c r="B34" i="4"/>
  <c r="D33" i="4"/>
  <c r="C33" i="4"/>
  <c r="B33" i="4"/>
  <c r="D31" i="4"/>
  <c r="C31" i="4"/>
  <c r="B31" i="4"/>
  <c r="D30" i="4"/>
  <c r="C30" i="4"/>
  <c r="B30" i="4"/>
  <c r="D29" i="4"/>
  <c r="C29" i="4"/>
  <c r="B29" i="4"/>
  <c r="D44" i="6"/>
  <c r="C44" i="6"/>
  <c r="B44" i="6"/>
  <c r="D43" i="6"/>
  <c r="C43" i="6"/>
  <c r="B43" i="6"/>
  <c r="D40" i="6"/>
  <c r="C40" i="6"/>
  <c r="B40" i="6"/>
  <c r="D39" i="6"/>
  <c r="C39" i="6"/>
  <c r="B39" i="6"/>
  <c r="D38" i="6"/>
  <c r="C38" i="6"/>
  <c r="B38" i="6"/>
  <c r="D37" i="6"/>
  <c r="C37" i="6"/>
  <c r="B37" i="6"/>
  <c r="D36" i="6"/>
  <c r="C36" i="6"/>
  <c r="B36" i="6"/>
  <c r="D35" i="6"/>
  <c r="C35" i="6"/>
  <c r="B35" i="6"/>
  <c r="D34" i="6"/>
  <c r="C34" i="6"/>
  <c r="B34" i="6"/>
  <c r="D33" i="6"/>
  <c r="C33" i="6"/>
  <c r="B33" i="6"/>
  <c r="D32" i="6"/>
  <c r="C32" i="6"/>
  <c r="B32" i="6"/>
  <c r="D31" i="6"/>
  <c r="C31" i="6"/>
  <c r="B31" i="6"/>
  <c r="D29" i="6"/>
  <c r="C29" i="6"/>
  <c r="B29" i="6"/>
  <c r="D28" i="6"/>
  <c r="C28" i="6"/>
  <c r="B28" i="6"/>
  <c r="D27" i="6"/>
  <c r="C27" i="6"/>
  <c r="B27" i="6"/>
  <c r="D45" i="9"/>
  <c r="C45" i="9"/>
  <c r="B45" i="9"/>
  <c r="D44" i="9"/>
  <c r="C44" i="9"/>
  <c r="B44" i="9"/>
  <c r="D41" i="9"/>
  <c r="C41" i="9"/>
  <c r="B41" i="9"/>
  <c r="D40" i="9"/>
  <c r="C40" i="9"/>
  <c r="B40" i="9"/>
  <c r="D39" i="9"/>
  <c r="C39" i="9"/>
  <c r="B39" i="9"/>
  <c r="D38" i="9"/>
  <c r="C38" i="9"/>
  <c r="B38" i="9"/>
  <c r="D37" i="9"/>
  <c r="C37" i="9"/>
  <c r="B37" i="9"/>
  <c r="D36" i="9"/>
  <c r="C36" i="9"/>
  <c r="B36" i="9"/>
  <c r="D35" i="9"/>
  <c r="C35" i="9"/>
  <c r="B35" i="9"/>
  <c r="D34" i="9"/>
  <c r="C34" i="9"/>
  <c r="B34" i="9"/>
  <c r="D33" i="9"/>
  <c r="C33" i="9"/>
  <c r="B33" i="9"/>
  <c r="D32" i="9"/>
  <c r="C32" i="9"/>
  <c r="B32" i="9"/>
  <c r="D30" i="9"/>
  <c r="C30" i="9"/>
  <c r="B30" i="9"/>
  <c r="D29" i="9"/>
  <c r="C29" i="9"/>
  <c r="B29" i="9"/>
  <c r="D28" i="9"/>
  <c r="C28" i="9"/>
  <c r="B28" i="9"/>
  <c r="D16" i="9"/>
  <c r="C16" i="9"/>
  <c r="B16" i="9"/>
  <c r="D15" i="9"/>
  <c r="C15" i="9"/>
  <c r="B15" i="9"/>
  <c r="D11" i="4"/>
  <c r="C11" i="4"/>
  <c r="B11" i="4"/>
  <c r="J14" i="3"/>
  <c r="K14" i="3"/>
  <c r="J13" i="3"/>
  <c r="K13" i="3"/>
  <c r="J12" i="3"/>
  <c r="K12" i="3"/>
  <c r="J11" i="3"/>
  <c r="K11" i="3"/>
  <c r="J10" i="3"/>
  <c r="K10" i="3"/>
  <c r="L10" i="3"/>
  <c r="M10" i="3"/>
  <c r="A46" i="5"/>
  <c r="A45" i="5"/>
  <c r="A44" i="5"/>
  <c r="A43" i="5"/>
  <c r="A42" i="5"/>
  <c r="A41" i="5"/>
  <c r="A40" i="5"/>
  <c r="A39" i="5"/>
  <c r="A38" i="5"/>
  <c r="A37" i="5"/>
  <c r="A36" i="5"/>
  <c r="A35" i="5"/>
  <c r="A34" i="5"/>
  <c r="A33" i="5"/>
  <c r="A32" i="5"/>
  <c r="A31" i="5"/>
  <c r="A30" i="5"/>
  <c r="A29" i="5"/>
  <c r="A44" i="6"/>
  <c r="A43" i="6"/>
  <c r="A42" i="6"/>
  <c r="A41" i="6"/>
  <c r="A40" i="6"/>
  <c r="A39" i="6"/>
  <c r="A38" i="6"/>
  <c r="A37" i="6"/>
  <c r="A36" i="6"/>
  <c r="A35" i="6"/>
  <c r="A34" i="6"/>
  <c r="A33" i="6"/>
  <c r="A32" i="6"/>
  <c r="A31" i="6"/>
  <c r="A30" i="6"/>
  <c r="A29" i="6"/>
  <c r="A28" i="6"/>
  <c r="A27" i="6"/>
  <c r="A46" i="4"/>
  <c r="A45" i="4"/>
  <c r="A44" i="4"/>
  <c r="A43" i="4"/>
  <c r="A42" i="4"/>
  <c r="A41" i="4"/>
  <c r="A40" i="4"/>
  <c r="A39" i="4"/>
  <c r="A38" i="4"/>
  <c r="A37" i="4"/>
  <c r="A36" i="4"/>
  <c r="A35" i="4"/>
  <c r="A34" i="4"/>
  <c r="A33" i="4"/>
  <c r="A32" i="4"/>
  <c r="A31" i="4"/>
  <c r="A30" i="4"/>
  <c r="A29" i="4"/>
  <c r="A45" i="3"/>
  <c r="A44" i="3"/>
  <c r="A43" i="3"/>
  <c r="A42" i="3"/>
  <c r="A41" i="3"/>
  <c r="A40" i="3"/>
  <c r="A39" i="3"/>
  <c r="A38" i="3"/>
  <c r="A37" i="3"/>
  <c r="A36" i="3"/>
  <c r="A35" i="3"/>
  <c r="A34" i="3"/>
  <c r="A33" i="3"/>
  <c r="A32" i="3"/>
  <c r="A31" i="3"/>
  <c r="A30" i="3"/>
  <c r="A29" i="3"/>
  <c r="A28" i="3"/>
  <c r="A28" i="2"/>
  <c r="A17" i="6"/>
  <c r="A16" i="6"/>
  <c r="A15" i="6"/>
  <c r="A14" i="6"/>
  <c r="A13" i="6"/>
  <c r="A12" i="6"/>
  <c r="A19" i="5"/>
  <c r="A18" i="5"/>
  <c r="A17" i="5"/>
  <c r="A16" i="5"/>
  <c r="A15" i="5"/>
  <c r="A14" i="5"/>
  <c r="A19" i="4"/>
  <c r="A18" i="4"/>
  <c r="A17" i="4"/>
  <c r="A16" i="4"/>
  <c r="A15" i="4"/>
  <c r="A14" i="4"/>
  <c r="A18" i="3"/>
  <c r="A17" i="3"/>
  <c r="A16" i="3"/>
  <c r="A15" i="3"/>
  <c r="A14" i="3"/>
  <c r="A13" i="3"/>
  <c r="A22" i="5"/>
  <c r="A21" i="5"/>
  <c r="A22" i="4"/>
  <c r="A21" i="4"/>
  <c r="A21" i="3"/>
  <c r="A20" i="3"/>
  <c r="A45" i="2"/>
  <c r="A44" i="2"/>
  <c r="A43" i="2"/>
  <c r="A42" i="2"/>
  <c r="A41" i="2"/>
  <c r="A40" i="2"/>
  <c r="A39" i="2"/>
  <c r="A38" i="2"/>
  <c r="A37" i="2"/>
  <c r="A36" i="2"/>
  <c r="A35" i="2"/>
  <c r="A34" i="2"/>
  <c r="A33" i="2"/>
  <c r="A32" i="2"/>
  <c r="A31" i="2"/>
  <c r="A30" i="2"/>
  <c r="A29" i="2"/>
  <c r="A21" i="2"/>
  <c r="A20" i="2"/>
  <c r="A18" i="2"/>
  <c r="A17" i="2"/>
  <c r="A16" i="2"/>
  <c r="A15" i="2"/>
  <c r="A14" i="2"/>
  <c r="A13" i="2"/>
  <c r="L10" i="6"/>
  <c r="L11" i="6"/>
  <c r="L12" i="6"/>
  <c r="L13" i="6"/>
  <c r="L9" i="6"/>
  <c r="B14" i="6"/>
  <c r="C14" i="6"/>
  <c r="D14" i="6"/>
  <c r="B15" i="6"/>
  <c r="C15" i="6"/>
  <c r="D15" i="6"/>
  <c r="C13" i="6"/>
  <c r="D13" i="6"/>
  <c r="B13" i="6"/>
  <c r="B16" i="5"/>
  <c r="C16" i="5"/>
  <c r="D16" i="5"/>
  <c r="B17" i="5"/>
  <c r="C17" i="5"/>
  <c r="D17" i="5"/>
  <c r="C15" i="5"/>
  <c r="D15" i="5"/>
  <c r="B15" i="5"/>
  <c r="C11" i="5"/>
  <c r="D11" i="5"/>
  <c r="B11" i="5"/>
  <c r="L12" i="5"/>
  <c r="L13" i="5"/>
  <c r="L14" i="5"/>
  <c r="L15" i="5"/>
  <c r="L11" i="5"/>
  <c r="I12" i="5"/>
  <c r="J12" i="5"/>
  <c r="I13" i="5"/>
  <c r="J13" i="5"/>
  <c r="I14" i="5"/>
  <c r="J14" i="5"/>
  <c r="I15" i="5"/>
  <c r="J15" i="5"/>
  <c r="J11" i="5"/>
  <c r="I11" i="5"/>
  <c r="K11" i="5"/>
  <c r="M11" i="5"/>
  <c r="B42" i="5"/>
  <c r="C42" i="5"/>
  <c r="D42" i="5"/>
  <c r="B45" i="5"/>
  <c r="C45" i="5"/>
  <c r="D45" i="5"/>
  <c r="B46" i="5"/>
  <c r="C46" i="5"/>
  <c r="D46" i="5"/>
  <c r="C41" i="5"/>
  <c r="D41" i="5"/>
  <c r="B41" i="5"/>
  <c r="B39" i="5"/>
  <c r="C39" i="5"/>
  <c r="D39" i="5"/>
  <c r="C38" i="5"/>
  <c r="D38" i="5"/>
  <c r="B38" i="5"/>
  <c r="C34" i="5"/>
  <c r="D34" i="5"/>
  <c r="B34" i="5"/>
  <c r="C29" i="5"/>
  <c r="D29" i="5"/>
  <c r="C30" i="5"/>
  <c r="D30" i="5"/>
  <c r="C31" i="5"/>
  <c r="D31" i="5"/>
  <c r="B30" i="5"/>
  <c r="B31" i="5"/>
  <c r="B29" i="5"/>
  <c r="L12" i="4"/>
  <c r="L13" i="4"/>
  <c r="L14" i="4"/>
  <c r="L15" i="4"/>
  <c r="L11" i="4"/>
  <c r="I12" i="4"/>
  <c r="J12" i="4"/>
  <c r="I13" i="4"/>
  <c r="J13" i="4"/>
  <c r="I14" i="4"/>
  <c r="J14" i="4"/>
  <c r="I15" i="4"/>
  <c r="J15" i="4"/>
  <c r="J11" i="4"/>
  <c r="I11" i="4"/>
  <c r="B15" i="4"/>
  <c r="C15" i="4"/>
  <c r="D15" i="4"/>
  <c r="B16" i="4"/>
  <c r="C16" i="4"/>
  <c r="D16" i="4"/>
  <c r="B17" i="4"/>
  <c r="C17" i="4"/>
  <c r="D17" i="4"/>
  <c r="L11" i="2"/>
  <c r="L12" i="2"/>
  <c r="L13" i="2"/>
  <c r="L14" i="2"/>
  <c r="L10" i="2"/>
  <c r="L11" i="3"/>
  <c r="L12" i="3"/>
  <c r="L13" i="3"/>
  <c r="L14" i="3"/>
  <c r="C28" i="3"/>
  <c r="D28" i="3"/>
  <c r="C29" i="3"/>
  <c r="D29" i="3"/>
  <c r="C30" i="3"/>
  <c r="D30" i="3"/>
  <c r="C32" i="3"/>
  <c r="D32" i="3"/>
  <c r="C33" i="3"/>
  <c r="D33" i="3"/>
  <c r="C34" i="3"/>
  <c r="D34" i="3"/>
  <c r="C35" i="3"/>
  <c r="D35" i="3"/>
  <c r="C36" i="3"/>
  <c r="D36" i="3"/>
  <c r="C37" i="3"/>
  <c r="D37" i="3"/>
  <c r="C38" i="3"/>
  <c r="D38" i="3"/>
  <c r="C39" i="3"/>
  <c r="D39" i="3"/>
  <c r="C40" i="3"/>
  <c r="D40" i="3"/>
  <c r="C41" i="3"/>
  <c r="D41" i="3"/>
  <c r="C44" i="3"/>
  <c r="D44" i="3"/>
  <c r="C45" i="3"/>
  <c r="D45" i="3"/>
  <c r="B29" i="3"/>
  <c r="B30" i="3"/>
  <c r="B32" i="3"/>
  <c r="B33" i="3"/>
  <c r="B34" i="3"/>
  <c r="B35" i="3"/>
  <c r="B36" i="3"/>
  <c r="B37" i="3"/>
  <c r="B38" i="3"/>
  <c r="B39" i="3"/>
  <c r="B40" i="3"/>
  <c r="B41" i="3"/>
  <c r="B44" i="3"/>
  <c r="B45" i="3"/>
  <c r="B28" i="3"/>
  <c r="D14" i="3"/>
  <c r="D15" i="3"/>
  <c r="D16" i="3"/>
  <c r="C14" i="3"/>
  <c r="C15" i="3"/>
  <c r="C16" i="3"/>
  <c r="B14" i="3"/>
  <c r="B15" i="3"/>
  <c r="B16" i="3"/>
  <c r="C10" i="3"/>
  <c r="D10" i="3"/>
  <c r="B10" i="3"/>
  <c r="D28" i="2"/>
  <c r="D29" i="2"/>
  <c r="D30" i="2"/>
  <c r="D32" i="2"/>
  <c r="D33" i="2"/>
  <c r="D34" i="2"/>
  <c r="D35" i="2"/>
  <c r="D36" i="2"/>
  <c r="D37" i="2"/>
  <c r="D38" i="2"/>
  <c r="D39" i="2"/>
  <c r="D40" i="2"/>
  <c r="D41" i="2"/>
  <c r="D44" i="2"/>
  <c r="D45" i="2"/>
  <c r="C28" i="2"/>
  <c r="C29" i="2"/>
  <c r="C30" i="2"/>
  <c r="C32" i="2"/>
  <c r="C33" i="2"/>
  <c r="C34" i="2"/>
  <c r="C35" i="2"/>
  <c r="C36" i="2"/>
  <c r="C37" i="2"/>
  <c r="C38" i="2"/>
  <c r="C39" i="2"/>
  <c r="C40" i="2"/>
  <c r="C41" i="2"/>
  <c r="C44" i="2"/>
  <c r="C45" i="2"/>
  <c r="B29" i="2"/>
  <c r="B30" i="2"/>
  <c r="B32" i="2"/>
  <c r="B33" i="2"/>
  <c r="B34" i="2"/>
  <c r="B35" i="2"/>
  <c r="B36" i="2"/>
  <c r="B37" i="2"/>
  <c r="B38" i="2"/>
  <c r="B39" i="2"/>
  <c r="B40" i="2"/>
  <c r="B41" i="2"/>
  <c r="B44" i="2"/>
  <c r="B45" i="2"/>
  <c r="B28" i="2"/>
  <c r="I11" i="2"/>
  <c r="I12" i="2"/>
  <c r="I13" i="2"/>
  <c r="I14" i="2"/>
  <c r="I10" i="2"/>
  <c r="D15" i="2"/>
  <c r="D16" i="2"/>
  <c r="C14" i="2"/>
  <c r="C15" i="2"/>
  <c r="C16" i="2"/>
  <c r="B14" i="2"/>
  <c r="B15" i="2"/>
  <c r="B16" i="2"/>
  <c r="D10" i="2"/>
  <c r="C10" i="2"/>
  <c r="B10" i="2"/>
  <c r="F9" i="1"/>
  <c r="E9" i="1"/>
  <c r="J13" i="6"/>
  <c r="K13" i="6"/>
  <c r="J12" i="6"/>
  <c r="K12" i="6"/>
  <c r="J11" i="6"/>
  <c r="K11" i="6"/>
  <c r="J10" i="6"/>
  <c r="K10" i="6"/>
  <c r="J9" i="6"/>
  <c r="K9" i="6"/>
  <c r="M9" i="6"/>
  <c r="D36" i="5"/>
  <c r="C36" i="5"/>
  <c r="D40" i="5"/>
  <c r="C40" i="5"/>
  <c r="D32" i="5"/>
  <c r="C32" i="5"/>
  <c r="B32" i="5"/>
  <c r="J12" i="2"/>
  <c r="J11" i="2"/>
  <c r="J10" i="2"/>
  <c r="K10" i="2"/>
  <c r="M10" i="2"/>
  <c r="J14" i="2"/>
  <c r="J13" i="2"/>
  <c r="M12" i="1"/>
  <c r="N12" i="1"/>
  <c r="M11" i="1"/>
  <c r="N11" i="1"/>
  <c r="M10" i="1"/>
  <c r="N10" i="1"/>
  <c r="B22" i="5"/>
  <c r="B20" i="1"/>
  <c r="C20" i="1"/>
  <c r="D20" i="1"/>
  <c r="M12" i="6"/>
  <c r="N12" i="6"/>
  <c r="K15" i="4"/>
  <c r="M15" i="4"/>
  <c r="N15" i="4"/>
  <c r="K13" i="4"/>
  <c r="D19" i="9"/>
  <c r="B21" i="2"/>
  <c r="K14" i="5"/>
  <c r="M14" i="5"/>
  <c r="N14" i="5"/>
  <c r="K12" i="5"/>
  <c r="M12" i="5"/>
  <c r="N12" i="5"/>
  <c r="D20" i="5"/>
  <c r="M15" i="9"/>
  <c r="N10" i="9"/>
  <c r="N15" i="9"/>
  <c r="B9" i="9"/>
  <c r="C9" i="9"/>
  <c r="F10" i="9"/>
  <c r="M10" i="6"/>
  <c r="N10" i="6"/>
  <c r="E9" i="6"/>
  <c r="M11" i="6"/>
  <c r="N11" i="6"/>
  <c r="D20" i="6"/>
  <c r="C18" i="6"/>
  <c r="C20" i="4"/>
  <c r="E11" i="4"/>
  <c r="F10" i="3"/>
  <c r="K14" i="2"/>
  <c r="M14" i="2"/>
  <c r="N14" i="2"/>
  <c r="E10" i="2"/>
  <c r="F10" i="2"/>
  <c r="C19" i="2"/>
  <c r="K13" i="2"/>
  <c r="M13" i="2"/>
  <c r="N13" i="2"/>
  <c r="F11" i="5"/>
  <c r="K13" i="5"/>
  <c r="M13" i="5"/>
  <c r="N13" i="5"/>
  <c r="D22" i="4"/>
  <c r="F9" i="6"/>
  <c r="B20" i="6"/>
  <c r="C22" i="5"/>
  <c r="K11" i="2"/>
  <c r="M11" i="2"/>
  <c r="N11" i="2"/>
  <c r="E10" i="3"/>
  <c r="K14" i="4"/>
  <c r="M14" i="4"/>
  <c r="N14" i="4"/>
  <c r="K12" i="4"/>
  <c r="M12" i="4"/>
  <c r="N12" i="4"/>
  <c r="C19" i="9"/>
  <c r="K12" i="2"/>
  <c r="M12" i="2"/>
  <c r="N12" i="2"/>
  <c r="D19" i="2"/>
  <c r="M13" i="6"/>
  <c r="N13" i="6"/>
  <c r="M13" i="4"/>
  <c r="N13" i="4"/>
  <c r="E11" i="5"/>
  <c r="M11" i="3"/>
  <c r="N11" i="3"/>
  <c r="M14" i="3"/>
  <c r="N14" i="3"/>
  <c r="K11" i="4"/>
  <c r="M11" i="4"/>
  <c r="F11" i="4"/>
  <c r="M12" i="3"/>
  <c r="N12" i="3"/>
  <c r="D21" i="3"/>
  <c r="M13" i="3"/>
  <c r="N13" i="3"/>
  <c r="K15" i="5"/>
  <c r="M15" i="5"/>
  <c r="N15" i="5"/>
  <c r="B22" i="4"/>
  <c r="B20" i="4"/>
  <c r="E10" i="9"/>
  <c r="C12" i="9"/>
  <c r="B19" i="3"/>
  <c r="B21" i="3"/>
  <c r="C21" i="3"/>
  <c r="C19" i="3"/>
  <c r="B12" i="9"/>
  <c r="E12" i="9"/>
  <c r="D9" i="9"/>
  <c r="E9" i="9"/>
  <c r="F12" i="9"/>
  <c r="F9" i="9"/>
  <c r="D12" i="9"/>
  <c r="N10" i="3"/>
  <c r="M15" i="3"/>
  <c r="N15" i="3"/>
  <c r="B9" i="3"/>
  <c r="C9" i="3"/>
  <c r="N9" i="6"/>
  <c r="M14" i="6"/>
  <c r="N14" i="6"/>
  <c r="B8" i="6"/>
  <c r="M16" i="5"/>
  <c r="N16" i="5"/>
  <c r="N11" i="5"/>
  <c r="M14" i="1"/>
  <c r="N9" i="1"/>
  <c r="N14" i="1"/>
  <c r="B8" i="1"/>
  <c r="B12" i="3"/>
  <c r="M16" i="4"/>
  <c r="N16" i="4"/>
  <c r="B10" i="4"/>
  <c r="N11" i="4"/>
  <c r="M15" i="2"/>
  <c r="N15" i="2"/>
  <c r="B9" i="2"/>
  <c r="N10" i="2"/>
  <c r="E12" i="3"/>
  <c r="O11" i="5"/>
  <c r="B11" i="1"/>
  <c r="C8" i="1"/>
  <c r="B42" i="1"/>
  <c r="B41" i="1"/>
  <c r="B30" i="1"/>
  <c r="C8" i="6"/>
  <c r="B11" i="6"/>
  <c r="C9" i="2"/>
  <c r="B12" i="2"/>
  <c r="D9" i="3"/>
  <c r="C12" i="3"/>
  <c r="E9" i="3"/>
  <c r="O12" i="5"/>
  <c r="B10" i="5"/>
  <c r="O15" i="5"/>
  <c r="O13" i="5"/>
  <c r="O14" i="5"/>
  <c r="C10" i="4"/>
  <c r="B13" i="4"/>
  <c r="E10" i="4"/>
  <c r="C13" i="4"/>
  <c r="D10" i="4"/>
  <c r="C10" i="5"/>
  <c r="B13" i="5"/>
  <c r="F9" i="3"/>
  <c r="D12" i="3"/>
  <c r="E8" i="6"/>
  <c r="D8" i="6"/>
  <c r="C11" i="6"/>
  <c r="C11" i="1"/>
  <c r="C41" i="1"/>
  <c r="D8" i="1"/>
  <c r="E8" i="1"/>
  <c r="C30" i="1"/>
  <c r="C42" i="1"/>
  <c r="E12" i="2"/>
  <c r="B31" i="2"/>
  <c r="B42" i="2"/>
  <c r="B43" i="2"/>
  <c r="B46" i="2"/>
  <c r="B13" i="2"/>
  <c r="B17" i="2"/>
  <c r="B18" i="2"/>
  <c r="B45" i="1"/>
  <c r="B12" i="1"/>
  <c r="B21" i="1"/>
  <c r="B30" i="6"/>
  <c r="B22" i="2"/>
  <c r="B31" i="3"/>
  <c r="B31" i="9"/>
  <c r="B32" i="4"/>
  <c r="B16" i="1"/>
  <c r="B17" i="1"/>
  <c r="E11" i="1"/>
  <c r="C12" i="2"/>
  <c r="E9" i="2"/>
  <c r="D9" i="2"/>
  <c r="B42" i="3"/>
  <c r="B43" i="5"/>
  <c r="B41" i="6"/>
  <c r="B42" i="9"/>
  <c r="B43" i="4"/>
  <c r="O16" i="5"/>
  <c r="E13" i="4"/>
  <c r="F12" i="3"/>
  <c r="E10" i="6"/>
  <c r="B44" i="5"/>
  <c r="B42" i="6"/>
  <c r="B43" i="9"/>
  <c r="B43" i="3"/>
  <c r="B44" i="4"/>
  <c r="B47" i="5"/>
  <c r="B14" i="5"/>
  <c r="F10" i="6"/>
  <c r="F13" i="4"/>
  <c r="F12" i="2"/>
  <c r="B47" i="4"/>
  <c r="B14" i="4"/>
  <c r="B45" i="6"/>
  <c r="B12" i="6"/>
  <c r="D11" i="1"/>
  <c r="D30" i="1"/>
  <c r="D41" i="1"/>
  <c r="F8" i="1"/>
  <c r="D42" i="1"/>
  <c r="D11" i="6"/>
  <c r="F8" i="6"/>
  <c r="B23" i="5"/>
  <c r="B18" i="5"/>
  <c r="B19" i="5"/>
  <c r="E13" i="5"/>
  <c r="B46" i="9"/>
  <c r="B13" i="9"/>
  <c r="C44" i="4"/>
  <c r="C43" i="3"/>
  <c r="C43" i="2"/>
  <c r="C43" i="9"/>
  <c r="C44" i="5"/>
  <c r="C42" i="6"/>
  <c r="C43" i="5"/>
  <c r="C41" i="6"/>
  <c r="C42" i="2"/>
  <c r="C43" i="4"/>
  <c r="C42" i="9"/>
  <c r="C42" i="3"/>
  <c r="C13" i="5"/>
  <c r="E10" i="5"/>
  <c r="D10" i="5"/>
  <c r="D12" i="2"/>
  <c r="F9" i="2"/>
  <c r="B46" i="3"/>
  <c r="B13" i="3"/>
  <c r="C45" i="1"/>
  <c r="C12" i="1"/>
  <c r="C16" i="1"/>
  <c r="C17" i="1"/>
  <c r="C30" i="6"/>
  <c r="C31" i="2"/>
  <c r="C31" i="9"/>
  <c r="C32" i="4"/>
  <c r="C31" i="3"/>
  <c r="F11" i="1"/>
  <c r="D13" i="4"/>
  <c r="F10" i="4"/>
  <c r="C21" i="1"/>
  <c r="C22" i="1"/>
  <c r="C46" i="9"/>
  <c r="C13" i="9"/>
  <c r="C46" i="2"/>
  <c r="C13" i="2"/>
  <c r="C22" i="2"/>
  <c r="C23" i="2"/>
  <c r="C46" i="3"/>
  <c r="C13" i="3"/>
  <c r="C22" i="3"/>
  <c r="C45" i="6"/>
  <c r="C12" i="6"/>
  <c r="C21" i="6"/>
  <c r="B22" i="9"/>
  <c r="B17" i="9"/>
  <c r="B18" i="9"/>
  <c r="D42" i="3"/>
  <c r="D41" i="6"/>
  <c r="D42" i="2"/>
  <c r="D43" i="5"/>
  <c r="D43" i="4"/>
  <c r="D42" i="9"/>
  <c r="B23" i="4"/>
  <c r="B18" i="4"/>
  <c r="B19" i="4"/>
  <c r="C16" i="6"/>
  <c r="C17" i="6"/>
  <c r="C47" i="4"/>
  <c r="C14" i="4"/>
  <c r="D13" i="5"/>
  <c r="F10" i="5"/>
  <c r="C47" i="5"/>
  <c r="C14" i="5"/>
  <c r="C18" i="5"/>
  <c r="C19" i="5"/>
  <c r="D31" i="3"/>
  <c r="D30" i="6"/>
  <c r="D32" i="4"/>
  <c r="D45" i="1"/>
  <c r="D12" i="1"/>
  <c r="D16" i="1"/>
  <c r="D17" i="1"/>
  <c r="D31" i="9"/>
  <c r="D31" i="2"/>
  <c r="C22" i="9"/>
  <c r="C17" i="9"/>
  <c r="C18" i="9"/>
  <c r="B17" i="3"/>
  <c r="B18" i="3"/>
  <c r="B22" i="3"/>
  <c r="D43" i="2"/>
  <c r="D42" i="6"/>
  <c r="D44" i="4"/>
  <c r="D43" i="9"/>
  <c r="D43" i="3"/>
  <c r="D44" i="5"/>
  <c r="D21" i="1"/>
  <c r="D22" i="1"/>
  <c r="C23" i="5"/>
  <c r="C24" i="5"/>
  <c r="F13" i="5"/>
  <c r="B21" i="6"/>
  <c r="C22" i="6"/>
  <c r="B16" i="6"/>
  <c r="B17" i="6"/>
  <c r="C17" i="3"/>
  <c r="C18" i="3"/>
  <c r="C23" i="3"/>
  <c r="C17" i="2"/>
  <c r="C18" i="2"/>
  <c r="D47" i="4"/>
  <c r="D14" i="4"/>
  <c r="D46" i="9"/>
  <c r="D13" i="9"/>
  <c r="D46" i="3"/>
  <c r="D13" i="3"/>
  <c r="D47" i="5"/>
  <c r="D14" i="5"/>
  <c r="D18" i="5"/>
  <c r="D19" i="5"/>
  <c r="C23" i="4"/>
  <c r="C24" i="4"/>
  <c r="C23" i="9"/>
  <c r="C18" i="4"/>
  <c r="C19" i="4"/>
  <c r="D46" i="2"/>
  <c r="D13" i="2"/>
  <c r="D45" i="6"/>
  <c r="D12" i="6"/>
  <c r="D23" i="4"/>
  <c r="D24" i="4"/>
  <c r="D18" i="4"/>
  <c r="D19" i="4"/>
  <c r="D21" i="6"/>
  <c r="D22" i="6"/>
  <c r="D16" i="6"/>
  <c r="D17" i="6"/>
  <c r="D22" i="2"/>
  <c r="D23" i="2"/>
  <c r="D17" i="2"/>
  <c r="D18" i="2"/>
  <c r="D22" i="3"/>
  <c r="D23" i="3"/>
  <c r="D17" i="3"/>
  <c r="D18" i="3"/>
  <c r="D23" i="5"/>
  <c r="D24" i="5"/>
  <c r="D17" i="9"/>
  <c r="D18" i="9"/>
  <c r="D22" i="9"/>
  <c r="D23" i="9"/>
</calcChain>
</file>

<file path=xl/sharedStrings.xml><?xml version="1.0" encoding="utf-8"?>
<sst xmlns="http://schemas.openxmlformats.org/spreadsheetml/2006/main" count="365" uniqueCount="107">
  <si>
    <t>Taux achat</t>
  </si>
  <si>
    <t>année 1</t>
  </si>
  <si>
    <t>année 2</t>
  </si>
  <si>
    <t>année 3</t>
  </si>
  <si>
    <t>€</t>
  </si>
  <si>
    <t>Calcul CA  année 1</t>
  </si>
  <si>
    <t>Chiffre d'affaires</t>
  </si>
  <si>
    <t>CA annuel ttc</t>
  </si>
  <si>
    <t>CA annuel ht</t>
  </si>
  <si>
    <t>% du CA annuel</t>
  </si>
  <si>
    <t>Achats</t>
  </si>
  <si>
    <t>Marge brute</t>
  </si>
  <si>
    <t>Autres charges externes</t>
  </si>
  <si>
    <t>Impôts et taxes</t>
  </si>
  <si>
    <t>Salaires et charges</t>
  </si>
  <si>
    <t>TOTAL</t>
  </si>
  <si>
    <t>Cotisations exploitant</t>
  </si>
  <si>
    <t>Intérêt emprunts</t>
  </si>
  <si>
    <t>Capital emprunt</t>
  </si>
  <si>
    <t>Reste à vivre</t>
  </si>
  <si>
    <t>Soit par mois</t>
  </si>
  <si>
    <t>Prélèvement exploitant/AN</t>
  </si>
  <si>
    <t>Soit revenu mensuel</t>
  </si>
  <si>
    <t>Détail des charges externes</t>
  </si>
  <si>
    <t>Energie</t>
  </si>
  <si>
    <t>Produit entretien</t>
  </si>
  <si>
    <t>Fournitures diverses</t>
  </si>
  <si>
    <t>Assurances</t>
  </si>
  <si>
    <t>Honoraires</t>
  </si>
  <si>
    <t>Téléphone</t>
  </si>
  <si>
    <t>Loyer</t>
  </si>
  <si>
    <t>Publicité</t>
  </si>
  <si>
    <t>Services bancaires</t>
  </si>
  <si>
    <t>Affranchissements</t>
  </si>
  <si>
    <t>Petit matériel</t>
  </si>
  <si>
    <t>Total</t>
  </si>
  <si>
    <t>Services proposés</t>
  </si>
  <si>
    <t>Aide à domicile (agrément simple)</t>
  </si>
  <si>
    <t>Montant HT</t>
  </si>
  <si>
    <t>Jardinage/bricolage</t>
  </si>
  <si>
    <t>Tx TVA</t>
  </si>
  <si>
    <t>Accompagnement (agrément qualité)</t>
  </si>
  <si>
    <t>Prix unitaire HT</t>
  </si>
  <si>
    <t>Courses</t>
  </si>
  <si>
    <t>Livraison repas</t>
  </si>
  <si>
    <t>Nb d'heures/quantités prévues</t>
  </si>
  <si>
    <t>Carburant</t>
  </si>
  <si>
    <t>Frais déplacement</t>
  </si>
  <si>
    <t>Frais formation</t>
  </si>
  <si>
    <t>Entretien véhicules</t>
  </si>
  <si>
    <t>Redevance franchise 5% du CA</t>
  </si>
  <si>
    <t>Redevance franchise 1% du CA</t>
  </si>
  <si>
    <t>Leasing véhicule</t>
  </si>
  <si>
    <t>Progr. N+1/N</t>
  </si>
  <si>
    <t>Contexte :</t>
  </si>
  <si>
    <t>Objectifs :</t>
  </si>
  <si>
    <t xml:space="preserve">Mode d'emploi : </t>
  </si>
  <si>
    <t>performances, et la rentabilité de leurs entreprises</t>
  </si>
  <si>
    <t xml:space="preserve">Les cellules </t>
  </si>
  <si>
    <t>sont celles que l'on fait varier pour mesurer les impacts sur le résultat</t>
  </si>
  <si>
    <t xml:space="preserve"> sont celles qui doivent être renseignées par le créateur ou par le conseiller</t>
  </si>
  <si>
    <t xml:space="preserve"> l'entreprise au cours de son développement , comme une baisse du CA (en volume ou en prix), une baisse de taux de marge…</t>
  </si>
  <si>
    <t>sont celles qui reflètent les conséquences des différents changements apportés au compte de résultat de départ</t>
  </si>
  <si>
    <t xml:space="preserve">                      NOTICE D'UTILISATION DU SIMULATEUR </t>
  </si>
  <si>
    <t>Résultat net annuel</t>
  </si>
  <si>
    <t>Solde cumulé de résultat net</t>
  </si>
  <si>
    <t>s'il veut voir rapidement les effets de telle ou telle variation MAIS il nécessite de la part du chef d'entreprise de bonnes connaissances en matière</t>
  </si>
  <si>
    <t>de comptabilité</t>
  </si>
  <si>
    <t>Par ailleurs, La FEDESAP a participé à l'élaboration de cet outil et nous la remercions vivement pour le travail réalisé et le temps consacré.</t>
  </si>
  <si>
    <r>
      <t xml:space="preserve">Cet outil est un </t>
    </r>
    <r>
      <rPr>
        <b/>
        <sz val="10"/>
        <color indexed="10"/>
        <rFont val="Arial"/>
        <family val="2"/>
      </rPr>
      <t>simulateur,</t>
    </r>
    <r>
      <rPr>
        <sz val="10"/>
        <rFont val="Arial"/>
        <family val="2"/>
      </rPr>
      <t xml:space="preserve"> c’est-à-dire qu'il permet de voir immédiatement les impacts des différentes variations (hypothèses) que peut connaitre</t>
    </r>
  </si>
  <si>
    <t>Ce simulateur a pour objectif d'aider le chef d'entreprise, notamment lors des visites de suivi, à voir concrètement les incidents des éléments suivants :</t>
  </si>
  <si>
    <r>
      <t>Dans le cadre d'une convention de partenariat avec l'</t>
    </r>
    <r>
      <rPr>
        <b/>
        <sz val="10"/>
        <rFont val="Arial"/>
        <family val="2"/>
      </rPr>
      <t>ANSP</t>
    </r>
    <r>
      <rPr>
        <sz val="10"/>
        <rFont val="Arial"/>
        <family val="2"/>
      </rPr>
      <t xml:space="preserve">, les réseaux d'accompagnement à la création/reprise d'entreprise </t>
    </r>
    <r>
      <rPr>
        <b/>
        <sz val="10"/>
        <rFont val="Arial"/>
        <family val="2"/>
      </rPr>
      <t>BGE Réseau,France</t>
    </r>
  </si>
  <si>
    <r>
      <rPr>
        <b/>
        <sz val="10"/>
        <rFont val="Arial"/>
        <family val="2"/>
      </rPr>
      <t>Active, ADIE et Initiative France</t>
    </r>
    <r>
      <rPr>
        <sz val="10"/>
        <rFont val="Arial"/>
        <family val="2"/>
      </rPr>
      <t xml:space="preserve"> ont été chargés de réfléchir à des outils visant à aider les conseillers et les créateurs à améliorer les </t>
    </r>
  </si>
  <si>
    <r>
      <t>C'est un</t>
    </r>
    <r>
      <rPr>
        <b/>
        <sz val="10"/>
        <color indexed="10"/>
        <rFont val="Arial"/>
        <family val="2"/>
      </rPr>
      <t xml:space="preserve"> outil pédagogique</t>
    </r>
    <r>
      <rPr>
        <sz val="10"/>
        <rFont val="Arial"/>
        <family val="2"/>
      </rPr>
      <t xml:space="preserve"> et qui a vocation à  être utilisé par le </t>
    </r>
    <r>
      <rPr>
        <b/>
        <sz val="10"/>
        <color indexed="10"/>
        <rFont val="Arial"/>
        <family val="2"/>
      </rPr>
      <t>conseiller réseau,</t>
    </r>
    <r>
      <rPr>
        <sz val="10"/>
        <rFont val="Arial"/>
        <family val="2"/>
      </rPr>
      <t xml:space="preserve"> lors des visites de suivi. Il peut également être utilisé par le chef d'entreprise</t>
    </r>
  </si>
  <si>
    <t>Onglet 2 : Hypothèse de départ avec un compte de résultat à l'équilibre à partir de l'année 2</t>
  </si>
  <si>
    <t>Onglet 3 : Baisse du chiffre d'affaires en volume</t>
  </si>
  <si>
    <t>Onglet 4 : Baisse du chiffre d'affaires due à une hausse du prix horaire</t>
  </si>
  <si>
    <t>Onglet 5 : Baisse du taux de marge due à une augmentation du SMIC</t>
  </si>
  <si>
    <t>Onglet 6 : Augmentation de certaines charges fixes lié à l'implantation d'une nouvelle agence</t>
  </si>
  <si>
    <t>Onglet 7 : Scénario catastrophe ==&gt; baisse simultanée du chiffre d'affaire en volume et baisse du prix</t>
  </si>
  <si>
    <t>Onglet 8 : Augmentation du taux de TVA de 7 à 10%</t>
  </si>
  <si>
    <r>
      <t xml:space="preserve">Dans cette feuille, il suffit de remplir les cellules grises avec les données de l'entreprise concernée </t>
    </r>
    <r>
      <rPr>
        <sz val="12"/>
        <color indexed="10"/>
        <rFont val="Arial"/>
        <family val="2"/>
      </rPr>
      <t>(</t>
    </r>
    <r>
      <rPr>
        <b/>
        <sz val="12"/>
        <color indexed="10"/>
        <rFont val="Arial"/>
        <family val="2"/>
      </rPr>
      <t>les chiffres indiqués dans cette feuille sont une simple illustration</t>
    </r>
    <r>
      <rPr>
        <sz val="12"/>
        <color indexed="10"/>
        <rFont val="Arial"/>
        <family val="2"/>
      </rPr>
      <t>)</t>
    </r>
  </si>
  <si>
    <t>sembler peu et pourtant on mesure tout de suite l'impact en terme de résultats !</t>
  </si>
  <si>
    <r>
      <rPr>
        <b/>
        <sz val="10"/>
        <color indexed="36"/>
        <rFont val="Arial"/>
        <family val="2"/>
      </rPr>
      <t>Onglet 2</t>
    </r>
    <r>
      <rPr>
        <sz val="10"/>
        <rFont val="Arial"/>
        <family val="2"/>
      </rPr>
      <t xml:space="preserve"> : Hypothèse de départ avec un compte de résultat à l'équilibre à partir de l'année 2</t>
    </r>
  </si>
  <si>
    <r>
      <rPr>
        <b/>
        <sz val="10"/>
        <color indexed="36"/>
        <rFont val="Arial"/>
        <family val="2"/>
      </rPr>
      <t>Onglet 3</t>
    </r>
    <r>
      <rPr>
        <sz val="10"/>
        <rFont val="Arial"/>
        <family val="2"/>
      </rPr>
      <t xml:space="preserve"> :</t>
    </r>
    <r>
      <rPr>
        <b/>
        <sz val="10"/>
        <rFont val="Arial"/>
        <family val="2"/>
      </rPr>
      <t xml:space="preserve"> Baisse du chiffre d'affaires en volume :</t>
    </r>
    <r>
      <rPr>
        <sz val="10"/>
        <rFont val="Arial"/>
        <family val="2"/>
      </rPr>
      <t xml:space="preserve"> dans ce scénario, on imagine que le CA réalisé est en dessous du prévisionnel de seulement 10%, ce qui peut</t>
    </r>
  </si>
  <si>
    <r>
      <rPr>
        <b/>
        <sz val="10"/>
        <color indexed="36"/>
        <rFont val="Arial"/>
        <family val="2"/>
      </rPr>
      <t>Onglet 4</t>
    </r>
    <r>
      <rPr>
        <sz val="10"/>
        <rFont val="Arial"/>
        <family val="2"/>
      </rPr>
      <t xml:space="preserve"> :</t>
    </r>
    <r>
      <rPr>
        <b/>
        <sz val="10"/>
        <rFont val="Arial"/>
        <family val="2"/>
      </rPr>
      <t xml:space="preserve"> Baisse du chiffre d'affaires due à une hausse du prix horaire</t>
    </r>
    <r>
      <rPr>
        <sz val="10"/>
        <rFont val="Arial"/>
        <family val="2"/>
      </rPr>
      <t xml:space="preserve"> : dans ce scénario, on imagine qu'une hausse des prix de 10% fait perdre une partie des </t>
    </r>
  </si>
  <si>
    <t>clients à l'entreprise (volatilité de la clientèle)==&gt; on mesure tout de suite l'impact sur le résultat de l'entreprise</t>
  </si>
  <si>
    <t>Si cette éventualité n'a pas été prévue dans la réalisation du prévisionnel, les conséquences peuvent être lourdes. Si elle a été prévue mais dans une plus faible mesure</t>
  </si>
  <si>
    <t>on peut ici mesurer les conséquences sur le résultat de l'entreprise</t>
  </si>
  <si>
    <r>
      <rPr>
        <b/>
        <sz val="10"/>
        <color indexed="36"/>
        <rFont val="Arial"/>
        <family val="2"/>
      </rPr>
      <t>Onglet 5</t>
    </r>
    <r>
      <rPr>
        <sz val="10"/>
        <rFont val="Arial"/>
        <family val="2"/>
      </rPr>
      <t xml:space="preserve"> : </t>
    </r>
    <r>
      <rPr>
        <b/>
        <sz val="10"/>
        <rFont val="Arial"/>
        <family val="2"/>
      </rPr>
      <t>Baisse du taux de marge due à une augmentation du SMIC</t>
    </r>
    <r>
      <rPr>
        <sz val="10"/>
        <rFont val="Arial"/>
        <family val="2"/>
      </rPr>
      <t xml:space="preserve"> : dans ce scénario, on imagine que le SMIC augmente de 3% en année 2, ce qui est réaliste</t>
    </r>
  </si>
  <si>
    <r>
      <rPr>
        <b/>
        <sz val="10"/>
        <color indexed="36"/>
        <rFont val="Arial"/>
        <family val="2"/>
      </rPr>
      <t>Onglet 6</t>
    </r>
    <r>
      <rPr>
        <sz val="10"/>
        <color indexed="36"/>
        <rFont val="Arial"/>
        <family val="2"/>
      </rPr>
      <t xml:space="preserve"> </t>
    </r>
    <r>
      <rPr>
        <sz val="10"/>
        <rFont val="Arial"/>
        <family val="2"/>
      </rPr>
      <t xml:space="preserve">: </t>
    </r>
    <r>
      <rPr>
        <b/>
        <sz val="10"/>
        <rFont val="Arial"/>
        <family val="2"/>
      </rPr>
      <t xml:space="preserve">Augmentation de certaines charges fixes lié à l'implantation d'une nouvelle agence </t>
    </r>
    <r>
      <rPr>
        <sz val="10"/>
        <rFont val="Arial"/>
        <family val="2"/>
      </rPr>
      <t xml:space="preserve">: ici, on imagine les conséquences en cas de création d'une </t>
    </r>
  </si>
  <si>
    <t>nouvelle agence (N2)==&gt; on augmente certaines charges comme les honoraires, les loyers, les leasing véhicules (plus de personnel = plus de véhicules) en plus bien</t>
  </si>
  <si>
    <r>
      <rPr>
        <b/>
        <sz val="10"/>
        <color indexed="36"/>
        <rFont val="Arial"/>
        <family val="2"/>
      </rPr>
      <t>Onglet 7</t>
    </r>
    <r>
      <rPr>
        <sz val="10"/>
        <rFont val="Arial"/>
        <family val="2"/>
      </rPr>
      <t xml:space="preserve"> : </t>
    </r>
    <r>
      <rPr>
        <b/>
        <sz val="10"/>
        <rFont val="Arial"/>
        <family val="2"/>
      </rPr>
      <t>Scénario catastrophe</t>
    </r>
    <r>
      <rPr>
        <sz val="10"/>
        <rFont val="Arial"/>
        <family val="2"/>
      </rPr>
      <t xml:space="preserve"> ==&gt; baisse simultanée du chiffre d'affaire en volume et baisse du prix ==&gt; c'est la pire situation = double effet sur les résultats !</t>
    </r>
  </si>
  <si>
    <r>
      <rPr>
        <b/>
        <sz val="10"/>
        <color indexed="36"/>
        <rFont val="Arial"/>
        <family val="2"/>
      </rPr>
      <t>Onglet 8</t>
    </r>
    <r>
      <rPr>
        <sz val="10"/>
        <rFont val="Arial"/>
        <family val="2"/>
      </rPr>
      <t xml:space="preserve"> :</t>
    </r>
    <r>
      <rPr>
        <b/>
        <sz val="10"/>
        <rFont val="Arial"/>
        <family val="2"/>
      </rPr>
      <t xml:space="preserve"> Augmentation du taux de TVA de 7 à 10% </t>
    </r>
    <r>
      <rPr>
        <sz val="10"/>
        <rFont val="Arial"/>
        <family val="2"/>
      </rPr>
      <t>: ici, on imagine une augmentation du taux de TVA, relevé de 7 à 10% mais sans que l'entreprise ne répercute</t>
    </r>
  </si>
  <si>
    <t xml:space="preserve"> cette hausse sur ses prix (par peur de perdre des clients !)cela entraîne nécessairement une baisse du CA en années 2 &amp; 3, et donc une baisse du résultat de l'entreprise</t>
  </si>
  <si>
    <t>entendu de l'augmentation de la masse salariale ! Mais cela s'accompagne aussi d'une augmentation du CA qui vient un peu compenser cette augmentation de charges</t>
  </si>
  <si>
    <r>
      <rPr>
        <b/>
        <sz val="12"/>
        <rFont val="Arial"/>
        <family val="2"/>
      </rPr>
      <t xml:space="preserve">Augmentation de certaines charges fixes lié à l'implantation d'une nouvelle agence </t>
    </r>
    <r>
      <rPr>
        <sz val="12"/>
        <rFont val="Arial"/>
        <family val="2"/>
      </rPr>
      <t xml:space="preserve">: ici, on imagine les conséquences en cas de création d'une </t>
    </r>
  </si>
  <si>
    <r>
      <rPr>
        <b/>
        <sz val="12"/>
        <rFont val="Arial"/>
        <family val="2"/>
      </rPr>
      <t>Baisse du taux de marge due à une augmentation du SMIC</t>
    </r>
    <r>
      <rPr>
        <sz val="12"/>
        <rFont val="Arial"/>
        <family val="2"/>
      </rPr>
      <t xml:space="preserve"> : dans ce scénario, on imagine que le SMIC augmente de 3% en année 2, ce qui est réaliste</t>
    </r>
  </si>
  <si>
    <r>
      <rPr>
        <b/>
        <sz val="12"/>
        <rFont val="Arial"/>
        <family val="2"/>
      </rPr>
      <t>Baisse du chiffre d'affaires due à une hausse du prix horaire</t>
    </r>
    <r>
      <rPr>
        <sz val="12"/>
        <rFont val="Arial"/>
        <family val="2"/>
      </rPr>
      <t xml:space="preserve"> : dans ce scénario, on imagine qu'une hausse des prix de 10% fait perdre une partie des </t>
    </r>
  </si>
  <si>
    <r>
      <rPr>
        <b/>
        <sz val="12"/>
        <rFont val="Arial"/>
        <family val="2"/>
      </rPr>
      <t>Baisse du chiffre d'affaires en volume :</t>
    </r>
    <r>
      <rPr>
        <sz val="12"/>
        <rFont val="Arial"/>
        <family val="2"/>
      </rPr>
      <t xml:space="preserve"> dans ce scénario, on imagine que le CA réalisé est en dessous du prévisionnel de seulement 10%, ce qui peut</t>
    </r>
  </si>
  <si>
    <r>
      <rPr>
        <b/>
        <sz val="12"/>
        <rFont val="Arial"/>
        <family val="2"/>
      </rPr>
      <t>Scénario catastrophe</t>
    </r>
    <r>
      <rPr>
        <sz val="12"/>
        <rFont val="Arial"/>
        <family val="2"/>
      </rPr>
      <t xml:space="preserve"> ==&gt; baisse simultanée du chiffre d'affaire en volume et baisse du prix ==&gt; c'est la pire situation = double effet sur les résultats !</t>
    </r>
  </si>
  <si>
    <r>
      <rPr>
        <b/>
        <sz val="12"/>
        <rFont val="Arial"/>
        <family val="2"/>
      </rPr>
      <t xml:space="preserve">Augmentation du taux de TVA de 7 à 10% </t>
    </r>
    <r>
      <rPr>
        <sz val="12"/>
        <rFont val="Arial"/>
        <family val="2"/>
      </rPr>
      <t>: ici, on imagine une augmentation du taux de TVA, relevé de 7 à 10% mais sans que l'entreprise ne répercute</t>
    </r>
  </si>
  <si>
    <t>Document réalisé dans le cadre de la Convention 2011-2012 avec l'Agence Nationale des Services à la Personne</t>
  </si>
  <si>
    <t>Version Décembre 2012</t>
  </si>
  <si>
    <t>(IMPACTS DES VARIATIONS DES DIFFERENTS PARAMETRES DE L'ENTREPRISE)</t>
  </si>
  <si>
    <t>OUTIL PEDAGOGIQUE DE SIMULATION</t>
  </si>
  <si>
    <t xml:space="preserve">L’outil pédagogique de simulation destiné aux entreprises en croissance : est un outil pédagogique et qui a vocation à être utilisé par le conseiller réseau, lors des visites de suivi. Il peut également être utilisé par le chef d’entreprise s’il veut voir rapidement les effets de telle ou telle variation.
Ce simulateur a pour objectif d’aider le chef d’entreprise, notamment lors des visites de suivi, à voir concrètement les incidences de la variation des différents paramètres tels que la Baisse du Chiffre d’affaire en volume, la Baisse du Chiffre d’affaire due à une hausse du prix horaire, etc…
Le groupe de travail inter-réseau composé de l’Adie, BGE réseau, France Active et Initiative France (avec l’appui de la FEDESAP), qui a construit cet outil, souhaite souligner qu’il peut être utilisé par le chef d’entreprise comme un outil d’auto-diagnostic mais qu’il nécessite un accompagnement par l’un des réseaux précités pour être efficace et amener à un projet de croissance de sa structure dans de bonnes conditions.
D’autre part, cet outil n’a pas valeur de validation d’un projet de croissance : c’est un outil de préparation de la démarche.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</si>
</sst>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
    <numFmt numFmtId="165" formatCode="_-* #,##0\ _€_-;\-* #,##0\ _€_-;_-* &quot;-&quot;??\ _€_-;_-@_-"/>
  </numFmts>
  <fonts count="24" x14ac:knownFonts="1">
    <font>
      <sz val="10"/>
      <name val="Arial"/>
      <family val="2"/>
    </font>
    <font>
      <sz val="10"/>
      <name val="Arial"/>
      <family val="2"/>
    </font>
    <font>
      <sz val="8"/>
      <name val="Arial"/>
      <family val="2"/>
    </font>
    <font>
      <b/>
      <sz val="12"/>
      <name val="Arial"/>
      <family val="2"/>
    </font>
    <font>
      <b/>
      <sz val="10"/>
      <name val="Arial"/>
      <family val="2"/>
    </font>
    <font>
      <sz val="11"/>
      <name val="Arial"/>
      <family val="2"/>
    </font>
    <font>
      <sz val="10"/>
      <name val="Arial"/>
      <family val="2"/>
    </font>
    <font>
      <sz val="9"/>
      <name val="Arial"/>
      <family val="2"/>
    </font>
    <font>
      <i/>
      <sz val="9"/>
      <name val="Arial"/>
      <family val="2"/>
    </font>
    <font>
      <b/>
      <sz val="16"/>
      <name val="Arial"/>
      <family val="2"/>
    </font>
    <font>
      <sz val="10"/>
      <name val="Arial"/>
      <family val="2"/>
    </font>
    <font>
      <b/>
      <sz val="10"/>
      <color indexed="10"/>
      <name val="Arial"/>
      <family val="2"/>
    </font>
    <font>
      <sz val="10"/>
      <color indexed="36"/>
      <name val="Arial"/>
      <family val="2"/>
    </font>
    <font>
      <b/>
      <sz val="12"/>
      <color indexed="10"/>
      <name val="Arial"/>
      <family val="2"/>
    </font>
    <font>
      <sz val="12"/>
      <name val="Arial"/>
      <family val="2"/>
    </font>
    <font>
      <sz val="12"/>
      <color indexed="10"/>
      <name val="Arial"/>
      <family val="2"/>
    </font>
    <font>
      <b/>
      <sz val="10"/>
      <color indexed="36"/>
      <name val="Arial"/>
      <family val="2"/>
    </font>
    <font>
      <i/>
      <sz val="10"/>
      <name val="Arial"/>
      <family val="2"/>
    </font>
    <font>
      <i/>
      <sz val="8"/>
      <name val="Arial"/>
      <family val="2"/>
    </font>
    <font>
      <b/>
      <sz val="16"/>
      <color rgb="FF7030A0"/>
      <name val="Arial"/>
      <family val="2"/>
    </font>
    <font>
      <b/>
      <sz val="10"/>
      <color theme="0"/>
      <name val="Arial"/>
      <family val="2"/>
    </font>
    <font>
      <b/>
      <sz val="14"/>
      <color theme="0"/>
      <name val="Arial"/>
      <family val="2"/>
    </font>
    <font>
      <sz val="10"/>
      <color theme="0"/>
      <name val="Arial"/>
      <family val="2"/>
    </font>
    <font>
      <sz val="10"/>
      <color rgb="FF7030A0"/>
      <name val="Arial"/>
      <family val="2"/>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7030A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bgColor indexed="64"/>
      </patternFill>
    </fill>
    <fill>
      <patternFill patternType="solid">
        <fgColor theme="3" tint="0.79998168889431442"/>
        <bgColor indexed="64"/>
      </patternFill>
    </fill>
  </fills>
  <borders count="2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9" fillId="0" borderId="0" xfId="0" applyFont="1"/>
    <xf numFmtId="0" fontId="19" fillId="0" borderId="0" xfId="0" applyFont="1" applyAlignment="1">
      <alignment horizontal="center"/>
    </xf>
    <xf numFmtId="0" fontId="17" fillId="0" borderId="0" xfId="0" applyFont="1"/>
    <xf numFmtId="17" fontId="18" fillId="0" borderId="0" xfId="0" applyNumberFormat="1" applyFont="1"/>
    <xf numFmtId="0" fontId="0" fillId="0" borderId="0" xfId="0" applyProtection="1">
      <protection locked="0"/>
    </xf>
    <xf numFmtId="0" fontId="14" fillId="0" borderId="0" xfId="0" applyFont="1" applyBorder="1" applyProtection="1">
      <protection locked="0"/>
    </xf>
    <xf numFmtId="0" fontId="5" fillId="0" borderId="0" xfId="0" applyFont="1" applyBorder="1" applyProtection="1">
      <protection locked="0"/>
    </xf>
    <xf numFmtId="0" fontId="0" fillId="0" borderId="0" xfId="0" applyBorder="1" applyProtection="1">
      <protection locked="0"/>
    </xf>
    <xf numFmtId="0" fontId="0" fillId="0" borderId="0" xfId="0" applyBorder="1" applyAlignment="1" applyProtection="1">
      <alignment horizontal="center" wrapText="1"/>
      <protection locked="0"/>
    </xf>
    <xf numFmtId="0" fontId="0" fillId="0" borderId="0" xfId="0" applyBorder="1" applyAlignment="1" applyProtection="1">
      <alignment wrapText="1"/>
      <protection locked="0"/>
    </xf>
    <xf numFmtId="9" fontId="0" fillId="0" borderId="0" xfId="0" applyNumberFormat="1" applyBorder="1" applyProtection="1">
      <protection locked="0"/>
    </xf>
    <xf numFmtId="0" fontId="4" fillId="0" borderId="0" xfId="0" applyFont="1" applyBorder="1" applyProtection="1">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3" fillId="2" borderId="2" xfId="0" applyFont="1" applyFill="1" applyBorder="1" applyProtection="1">
      <protection locked="0"/>
    </xf>
    <xf numFmtId="3" fontId="3" fillId="2" borderId="2" xfId="0" applyNumberFormat="1" applyFont="1" applyFill="1" applyBorder="1" applyAlignment="1" applyProtection="1">
      <alignment horizontal="center"/>
      <protection locked="0"/>
    </xf>
    <xf numFmtId="9" fontId="1" fillId="0" borderId="2" xfId="3" applyBorder="1" applyAlignment="1" applyProtection="1">
      <alignment horizontal="center"/>
      <protection locked="0"/>
    </xf>
    <xf numFmtId="9" fontId="1" fillId="0" borderId="0" xfId="3" applyBorder="1" applyAlignment="1" applyProtection="1">
      <alignment horizontal="center"/>
      <protection locked="0"/>
    </xf>
    <xf numFmtId="0" fontId="4" fillId="0" borderId="3"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0" borderId="2"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Protection="1">
      <protection locked="0"/>
    </xf>
    <xf numFmtId="3" fontId="0" fillId="4" borderId="5" xfId="0" applyNumberFormat="1" applyFill="1" applyBorder="1" applyAlignment="1" applyProtection="1">
      <alignment horizontal="center"/>
      <protection locked="0"/>
    </xf>
    <xf numFmtId="0" fontId="6" fillId="0" borderId="3" xfId="0" applyFont="1" applyBorder="1" applyAlignment="1" applyProtection="1">
      <alignment horizontal="center" wrapText="1"/>
      <protection locked="0"/>
    </xf>
    <xf numFmtId="1" fontId="0" fillId="4" borderId="2" xfId="0" applyNumberFormat="1" applyFill="1" applyBorder="1" applyAlignment="1" applyProtection="1">
      <alignment horizontal="center"/>
      <protection locked="0"/>
    </xf>
    <xf numFmtId="1" fontId="1" fillId="4" borderId="2" xfId="1" applyNumberFormat="1" applyFill="1" applyBorder="1" applyAlignment="1" applyProtection="1">
      <alignment horizontal="center" wrapText="1"/>
      <protection locked="0"/>
    </xf>
    <xf numFmtId="9" fontId="1" fillId="0" borderId="0" xfId="3" applyProtection="1">
      <protection locked="0"/>
    </xf>
    <xf numFmtId="1" fontId="6" fillId="4" borderId="2" xfId="0" applyNumberFormat="1" applyFont="1" applyFill="1" applyBorder="1" applyAlignment="1" applyProtection="1">
      <alignment horizontal="center"/>
      <protection locked="0"/>
    </xf>
    <xf numFmtId="1" fontId="6" fillId="4" borderId="2" xfId="1" applyNumberFormat="1" applyFont="1" applyFill="1" applyBorder="1" applyAlignment="1" applyProtection="1">
      <alignment horizontal="center" wrapText="1"/>
      <protection locked="0"/>
    </xf>
    <xf numFmtId="0" fontId="4" fillId="0" borderId="0" xfId="0" applyFont="1" applyProtection="1">
      <protection locked="0"/>
    </xf>
    <xf numFmtId="9" fontId="4" fillId="0" borderId="2" xfId="3" applyFont="1" applyBorder="1" applyProtection="1">
      <protection locked="0"/>
    </xf>
    <xf numFmtId="1" fontId="0" fillId="4" borderId="2" xfId="0" applyNumberFormat="1" applyFill="1" applyBorder="1" applyAlignment="1" applyProtection="1">
      <alignment horizontal="center" wrapText="1"/>
      <protection locked="0"/>
    </xf>
    <xf numFmtId="0" fontId="0" fillId="4" borderId="2" xfId="0" applyFill="1" applyBorder="1" applyAlignment="1" applyProtection="1">
      <alignment horizontal="center"/>
      <protection locked="0"/>
    </xf>
    <xf numFmtId="0" fontId="0" fillId="4" borderId="2" xfId="0" applyFill="1" applyBorder="1" applyAlignment="1" applyProtection="1">
      <alignment horizontal="center" wrapText="1"/>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3" fillId="3" borderId="2" xfId="0" applyFont="1" applyFill="1" applyBorder="1" applyProtection="1">
      <protection locked="0"/>
    </xf>
    <xf numFmtId="1" fontId="0" fillId="0" borderId="0" xfId="0" applyNumberFormat="1" applyBorder="1" applyProtection="1">
      <protection locked="0"/>
    </xf>
    <xf numFmtId="0" fontId="4" fillId="3" borderId="9" xfId="0" applyFont="1" applyFill="1" applyBorder="1" applyProtection="1">
      <protection locked="0"/>
    </xf>
    <xf numFmtId="0" fontId="4" fillId="0" borderId="0" xfId="0" applyFont="1" applyBorder="1" applyAlignment="1" applyProtection="1">
      <alignment horizontal="center" wrapText="1"/>
      <protection locked="0"/>
    </xf>
    <xf numFmtId="0" fontId="4" fillId="0" borderId="0" xfId="0" applyFont="1" applyBorder="1" applyAlignment="1" applyProtection="1">
      <alignment wrapText="1"/>
      <protection locked="0"/>
    </xf>
    <xf numFmtId="0" fontId="4" fillId="0" borderId="2" xfId="0" applyFont="1" applyFill="1" applyBorder="1" applyProtection="1">
      <protection locked="0"/>
    </xf>
    <xf numFmtId="0" fontId="9" fillId="0" borderId="9" xfId="0" applyFont="1" applyFill="1" applyBorder="1" applyProtection="1">
      <protection locked="0"/>
    </xf>
    <xf numFmtId="0" fontId="4" fillId="0" borderId="10" xfId="0" applyFont="1" applyBorder="1" applyProtection="1">
      <protection locked="0"/>
    </xf>
    <xf numFmtId="0" fontId="0" fillId="0" borderId="0" xfId="0"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0" fillId="0" borderId="2" xfId="0" applyFill="1" applyBorder="1" applyAlignment="1" applyProtection="1">
      <alignment horizontal="center"/>
      <protection locked="0"/>
    </xf>
    <xf numFmtId="164" fontId="1" fillId="0" borderId="0" xfId="3" applyNumberFormat="1" applyBorder="1" applyProtection="1">
      <protection locked="0"/>
    </xf>
    <xf numFmtId="164" fontId="1" fillId="0" borderId="0" xfId="3" applyNumberFormat="1" applyBorder="1" applyAlignment="1" applyProtection="1">
      <alignment horizontal="center" wrapText="1"/>
      <protection locked="0"/>
    </xf>
    <xf numFmtId="0" fontId="0" fillId="0" borderId="11" xfId="0" applyBorder="1" applyProtection="1">
      <protection locked="0"/>
    </xf>
    <xf numFmtId="165" fontId="1" fillId="4" borderId="11" xfId="2" applyNumberFormat="1" applyFill="1" applyBorder="1" applyAlignment="1" applyProtection="1">
      <alignment horizontal="center"/>
      <protection locked="0"/>
    </xf>
    <xf numFmtId="165" fontId="1" fillId="4" borderId="5" xfId="2" applyNumberFormat="1" applyFill="1" applyBorder="1" applyAlignment="1" applyProtection="1">
      <alignment horizontal="center"/>
      <protection locked="0"/>
    </xf>
    <xf numFmtId="0" fontId="6" fillId="0" borderId="5" xfId="0" applyFont="1" applyBorder="1" applyProtection="1">
      <protection locked="0"/>
    </xf>
    <xf numFmtId="0" fontId="4" fillId="0" borderId="2" xfId="0" applyFont="1" applyBorder="1" applyProtection="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3" fontId="0" fillId="5" borderId="2" xfId="0" applyNumberFormat="1" applyFill="1" applyBorder="1" applyAlignment="1" applyProtection="1">
      <alignment horizontal="center"/>
    </xf>
    <xf numFmtId="9" fontId="0" fillId="5" borderId="2" xfId="0" applyNumberFormat="1" applyFill="1" applyBorder="1" applyAlignment="1" applyProtection="1">
      <alignment horizontal="center"/>
    </xf>
    <xf numFmtId="165" fontId="1" fillId="0" borderId="2" xfId="2" applyNumberFormat="1" applyBorder="1" applyAlignment="1" applyProtection="1">
      <alignment horizontal="center"/>
    </xf>
    <xf numFmtId="165" fontId="0" fillId="0" borderId="4" xfId="0" applyNumberForma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165" fontId="4" fillId="0" borderId="12" xfId="0" applyNumberFormat="1" applyFont="1" applyBorder="1" applyProtection="1"/>
    <xf numFmtId="165" fontId="4" fillId="0" borderId="13" xfId="0" applyNumberFormat="1" applyFont="1" applyBorder="1" applyProtection="1"/>
    <xf numFmtId="3" fontId="3" fillId="2" borderId="2" xfId="0" applyNumberFormat="1" applyFont="1" applyFill="1" applyBorder="1" applyAlignment="1" applyProtection="1">
      <alignment horizontal="center"/>
    </xf>
    <xf numFmtId="3" fontId="3" fillId="3" borderId="2" xfId="0" applyNumberFormat="1" applyFont="1" applyFill="1" applyBorder="1" applyAlignment="1" applyProtection="1">
      <alignment horizontal="center"/>
    </xf>
    <xf numFmtId="3" fontId="4" fillId="3" borderId="2" xfId="0" applyNumberFormat="1" applyFont="1" applyFill="1" applyBorder="1" applyAlignment="1" applyProtection="1">
      <alignment horizontal="center"/>
    </xf>
    <xf numFmtId="3" fontId="4" fillId="0" borderId="2" xfId="0" applyNumberFormat="1" applyFont="1" applyFill="1" applyBorder="1" applyAlignment="1" applyProtection="1">
      <alignment horizontal="center"/>
    </xf>
    <xf numFmtId="0" fontId="3" fillId="3" borderId="2" xfId="0" applyFont="1" applyFill="1" applyBorder="1" applyAlignment="1" applyProtection="1">
      <alignment horizontal="center"/>
    </xf>
    <xf numFmtId="1" fontId="3" fillId="3" borderId="2" xfId="0" applyNumberFormat="1" applyFont="1" applyFill="1" applyBorder="1" applyAlignment="1" applyProtection="1">
      <alignment horizontal="center"/>
    </xf>
    <xf numFmtId="3" fontId="3" fillId="0" borderId="14" xfId="0" applyNumberFormat="1" applyFont="1" applyFill="1" applyBorder="1" applyAlignment="1" applyProtection="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0" xfId="0" applyBorder="1" applyAlignment="1" applyProtection="1">
      <alignment horizontal="center"/>
    </xf>
    <xf numFmtId="0" fontId="4" fillId="0" borderId="1" xfId="0" applyFont="1" applyBorder="1" applyAlignment="1" applyProtection="1">
      <alignment horizontal="center"/>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xf>
    <xf numFmtId="0" fontId="0" fillId="0" borderId="2" xfId="0" applyBorder="1" applyAlignment="1" applyProtection="1">
      <alignment horizontal="center"/>
    </xf>
    <xf numFmtId="0" fontId="0" fillId="0" borderId="2" xfId="0" applyFill="1" applyBorder="1" applyAlignment="1" applyProtection="1">
      <alignment horizontal="center"/>
    </xf>
    <xf numFmtId="165" fontId="4" fillId="0" borderId="2" xfId="2" applyNumberFormat="1" applyFont="1" applyBorder="1" applyAlignment="1" applyProtection="1">
      <alignment horizontal="center"/>
    </xf>
    <xf numFmtId="0" fontId="14" fillId="0" borderId="0" xfId="0" applyFont="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left"/>
      <protection locked="0"/>
    </xf>
    <xf numFmtId="165" fontId="20" fillId="6" borderId="2" xfId="2" applyNumberFormat="1" applyFont="1" applyFill="1" applyBorder="1" applyAlignment="1" applyProtection="1">
      <alignment horizontal="center" wrapText="1"/>
      <protection locked="0"/>
    </xf>
    <xf numFmtId="165" fontId="10" fillId="4" borderId="2" xfId="2" applyNumberFormat="1" applyFont="1" applyFill="1" applyBorder="1" applyAlignment="1" applyProtection="1">
      <alignment horizontal="center"/>
      <protection locked="0"/>
    </xf>
    <xf numFmtId="165" fontId="6" fillId="4" borderId="2" xfId="2" applyNumberFormat="1" applyFont="1" applyFill="1" applyBorder="1" applyAlignment="1" applyProtection="1">
      <alignment horizontal="center"/>
      <protection locked="0"/>
    </xf>
    <xf numFmtId="3" fontId="0" fillId="0" borderId="5" xfId="0" applyNumberFormat="1" applyFill="1" applyBorder="1" applyAlignment="1" applyProtection="1">
      <alignment horizontal="center"/>
      <protection locked="0"/>
    </xf>
    <xf numFmtId="0" fontId="4" fillId="7" borderId="2" xfId="0" applyFont="1" applyFill="1" applyBorder="1" applyProtection="1">
      <protection locked="0"/>
    </xf>
    <xf numFmtId="0" fontId="9" fillId="0" borderId="17" xfId="0" applyFont="1" applyFill="1" applyBorder="1" applyProtection="1">
      <protection locked="0"/>
    </xf>
    <xf numFmtId="164" fontId="1" fillId="0" borderId="0" xfId="3" applyNumberFormat="1" applyProtection="1">
      <protection locked="0"/>
    </xf>
    <xf numFmtId="0" fontId="6" fillId="0" borderId="0" xfId="0" applyFont="1" applyProtection="1">
      <protection locked="0"/>
    </xf>
    <xf numFmtId="165" fontId="20" fillId="6" borderId="2" xfId="2" applyNumberFormat="1" applyFont="1" applyFill="1" applyBorder="1" applyAlignment="1" applyProtection="1">
      <alignment horizontal="center" wrapText="1"/>
    </xf>
    <xf numFmtId="9" fontId="0" fillId="0" borderId="2" xfId="0" applyNumberFormat="1" applyBorder="1" applyAlignment="1" applyProtection="1">
      <alignment horizontal="center"/>
    </xf>
    <xf numFmtId="9" fontId="4" fillId="0" borderId="2" xfId="3" applyFont="1" applyBorder="1" applyProtection="1"/>
    <xf numFmtId="3" fontId="0" fillId="5" borderId="5" xfId="0" applyNumberFormat="1" applyFill="1" applyBorder="1" applyAlignment="1" applyProtection="1">
      <alignment horizontal="center"/>
    </xf>
    <xf numFmtId="0" fontId="0" fillId="0" borderId="0" xfId="0" applyAlignment="1" applyProtection="1">
      <alignment horizontal="center"/>
      <protection locked="0"/>
    </xf>
    <xf numFmtId="1" fontId="20" fillId="6" borderId="2" xfId="0" applyNumberFormat="1" applyFont="1" applyFill="1" applyBorder="1" applyAlignment="1" applyProtection="1">
      <alignment horizontal="center"/>
      <protection locked="0"/>
    </xf>
    <xf numFmtId="0" fontId="20" fillId="6" borderId="2" xfId="0" applyFont="1" applyFill="1" applyBorder="1" applyAlignment="1" applyProtection="1">
      <alignment horizontal="center"/>
      <protection locked="0"/>
    </xf>
    <xf numFmtId="0" fontId="4" fillId="0" borderId="0" xfId="0" applyFont="1" applyAlignment="1" applyProtection="1">
      <alignment horizontal="center"/>
      <protection locked="0"/>
    </xf>
    <xf numFmtId="1" fontId="20" fillId="6" borderId="2" xfId="0" applyNumberFormat="1" applyFont="1" applyFill="1" applyBorder="1" applyAlignment="1" applyProtection="1">
      <alignment horizontal="center"/>
    </xf>
    <xf numFmtId="0" fontId="20" fillId="6" borderId="2" xfId="0" applyFont="1" applyFill="1" applyBorder="1" applyAlignment="1" applyProtection="1">
      <alignment horizontal="center"/>
    </xf>
    <xf numFmtId="3" fontId="0" fillId="0" borderId="5" xfId="0" applyNumberFormat="1" applyBorder="1" applyAlignment="1" applyProtection="1">
      <alignment horizontal="center"/>
    </xf>
    <xf numFmtId="0" fontId="0" fillId="0" borderId="2" xfId="0" applyBorder="1" applyAlignment="1" applyProtection="1">
      <alignment horizontal="center" wrapText="1"/>
      <protection locked="0"/>
    </xf>
    <xf numFmtId="0" fontId="0" fillId="0" borderId="4" xfId="0" applyBorder="1" applyAlignment="1" applyProtection="1">
      <alignment horizontal="center" wrapText="1"/>
      <protection locked="0"/>
    </xf>
    <xf numFmtId="9" fontId="1" fillId="0" borderId="0" xfId="3" applyAlignment="1" applyProtection="1">
      <alignment wrapText="1"/>
      <protection locked="0"/>
    </xf>
    <xf numFmtId="0" fontId="21" fillId="6" borderId="18" xfId="3" applyNumberFormat="1" applyFont="1" applyFill="1" applyBorder="1" applyProtection="1">
      <protection locked="0"/>
    </xf>
    <xf numFmtId="9" fontId="21" fillId="6" borderId="18" xfId="3" applyFont="1" applyFill="1" applyBorder="1" applyProtection="1">
      <protection locked="0"/>
    </xf>
    <xf numFmtId="9" fontId="21" fillId="6" borderId="19" xfId="3" applyFont="1" applyFill="1" applyBorder="1" applyProtection="1">
      <protection locked="0"/>
    </xf>
    <xf numFmtId="0" fontId="4" fillId="0" borderId="0" xfId="0" applyFont="1" applyAlignment="1" applyProtection="1">
      <alignment wrapText="1"/>
      <protection locked="0"/>
    </xf>
    <xf numFmtId="164" fontId="1" fillId="0" borderId="0" xfId="3" applyNumberFormat="1" applyAlignment="1" applyProtection="1">
      <alignment wrapText="1"/>
      <protection locked="0"/>
    </xf>
    <xf numFmtId="9" fontId="0" fillId="0" borderId="0" xfId="0" applyNumberFormat="1" applyProtection="1">
      <protection locked="0"/>
    </xf>
    <xf numFmtId="0" fontId="0" fillId="0" borderId="1" xfId="0" applyBorder="1" applyAlignment="1" applyProtection="1">
      <alignment horizontal="center" wrapText="1"/>
      <protection locked="0"/>
    </xf>
    <xf numFmtId="9" fontId="4" fillId="0" borderId="0" xfId="3" applyFont="1" applyBorder="1" applyProtection="1">
      <protection locked="0"/>
    </xf>
    <xf numFmtId="165" fontId="0" fillId="0" borderId="0" xfId="0" applyNumberFormat="1" applyAlignment="1" applyProtection="1">
      <alignment wrapText="1"/>
      <protection locked="0"/>
    </xf>
    <xf numFmtId="0" fontId="4" fillId="0" borderId="0" xfId="0" applyFont="1" applyAlignment="1" applyProtection="1">
      <alignment horizontal="center" wrapText="1"/>
      <protection locked="0"/>
    </xf>
    <xf numFmtId="165" fontId="22" fillId="6" borderId="5" xfId="2" applyNumberFormat="1" applyFont="1" applyFill="1" applyBorder="1" applyAlignment="1" applyProtection="1">
      <alignment horizontal="center"/>
      <protection locked="0"/>
    </xf>
    <xf numFmtId="9" fontId="1" fillId="0" borderId="4" xfId="3" applyBorder="1" applyAlignment="1" applyProtection="1">
      <alignment horizontal="center" wrapText="1"/>
    </xf>
    <xf numFmtId="165" fontId="4" fillId="0" borderId="20" xfId="0" applyNumberFormat="1" applyFont="1" applyBorder="1" applyProtection="1"/>
    <xf numFmtId="9" fontId="6" fillId="0" borderId="13" xfId="0" applyNumberFormat="1" applyFont="1" applyBorder="1" applyAlignment="1" applyProtection="1">
      <alignment horizontal="center" wrapText="1"/>
    </xf>
    <xf numFmtId="0" fontId="21" fillId="6" borderId="18" xfId="3" applyNumberFormat="1" applyFont="1" applyFill="1" applyBorder="1" applyProtection="1"/>
    <xf numFmtId="9" fontId="4" fillId="0" borderId="0" xfId="3" applyFont="1" applyBorder="1" applyProtection="1"/>
    <xf numFmtId="0" fontId="0" fillId="0" borderId="11" xfId="0"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21" xfId="0" applyBorder="1" applyProtection="1">
      <protection locked="0"/>
    </xf>
    <xf numFmtId="0" fontId="0" fillId="0" borderId="17" xfId="0" applyBorder="1" applyProtection="1">
      <protection locked="0"/>
    </xf>
    <xf numFmtId="0" fontId="6" fillId="0" borderId="17" xfId="0" applyFont="1" applyBorder="1" applyProtection="1">
      <protection locked="0"/>
    </xf>
    <xf numFmtId="0" fontId="7" fillId="0" borderId="0" xfId="0" applyFont="1" applyBorder="1" applyProtection="1">
      <protection locked="0"/>
    </xf>
    <xf numFmtId="0" fontId="7" fillId="0" borderId="0" xfId="0" applyFont="1" applyBorder="1" applyAlignment="1" applyProtection="1">
      <alignment horizontal="center"/>
      <protection locked="0"/>
    </xf>
    <xf numFmtId="0" fontId="8" fillId="0" borderId="0" xfId="0" applyFont="1" applyBorder="1" applyProtection="1">
      <protection locked="0"/>
    </xf>
    <xf numFmtId="3" fontId="7" fillId="0" borderId="0" xfId="0" applyNumberFormat="1" applyFont="1" applyBorder="1" applyAlignment="1" applyProtection="1">
      <alignment horizontal="center"/>
      <protection locked="0"/>
    </xf>
    <xf numFmtId="0" fontId="6" fillId="0" borderId="0" xfId="0" applyFont="1" applyBorder="1" applyProtection="1">
      <protection locked="0"/>
    </xf>
    <xf numFmtId="164" fontId="23" fillId="6" borderId="2" xfId="0" applyNumberFormat="1" applyFont="1" applyFill="1" applyBorder="1" applyAlignment="1" applyProtection="1">
      <alignment horizontal="center"/>
      <protection locked="0"/>
    </xf>
    <xf numFmtId="164" fontId="0" fillId="0" borderId="0" xfId="3" applyNumberFormat="1" applyFont="1" applyBorder="1" applyAlignment="1" applyProtection="1">
      <alignment horizontal="center" wrapText="1"/>
      <protection locked="0"/>
    </xf>
    <xf numFmtId="165" fontId="20" fillId="6" borderId="2" xfId="2" applyNumberFormat="1" applyFont="1" applyFill="1" applyBorder="1" applyAlignment="1" applyProtection="1">
      <alignment horizontal="center"/>
    </xf>
    <xf numFmtId="0" fontId="0" fillId="0" borderId="0" xfId="0" applyProtection="1"/>
    <xf numFmtId="0" fontId="3" fillId="4" borderId="0" xfId="0" applyFont="1" applyFill="1" applyProtection="1"/>
    <xf numFmtId="0" fontId="0" fillId="4" borderId="0" xfId="0" applyFill="1" applyProtection="1"/>
    <xf numFmtId="0" fontId="3" fillId="0" borderId="0" xfId="0" applyFont="1" applyProtection="1"/>
    <xf numFmtId="0" fontId="6" fillId="0" borderId="0" xfId="0" applyFont="1" applyProtection="1"/>
    <xf numFmtId="0" fontId="6" fillId="0" borderId="0" xfId="0" applyFont="1" applyFill="1" applyProtection="1"/>
    <xf numFmtId="0" fontId="0" fillId="8" borderId="2" xfId="0" applyFill="1" applyBorder="1" applyProtection="1"/>
    <xf numFmtId="0" fontId="0" fillId="0" borderId="0" xfId="0" applyFill="1" applyProtection="1"/>
    <xf numFmtId="0" fontId="0" fillId="5" borderId="2" xfId="0" applyFill="1" applyBorder="1" applyProtection="1"/>
    <xf numFmtId="0" fontId="4" fillId="0" borderId="0" xfId="0" applyFont="1" applyProtection="1"/>
    <xf numFmtId="0" fontId="0" fillId="9" borderId="2" xfId="0" applyFill="1" applyBorder="1" applyProtection="1"/>
    <xf numFmtId="0" fontId="19" fillId="0" borderId="0" xfId="0" applyFont="1" applyAlignment="1">
      <alignment horizontal="center"/>
    </xf>
    <xf numFmtId="0" fontId="0" fillId="0" borderId="0" xfId="0" applyAlignment="1">
      <alignment horizontal="left" vertical="top" wrapText="1"/>
    </xf>
    <xf numFmtId="0" fontId="4" fillId="0" borderId="0" xfId="0" applyFont="1" applyAlignment="1" applyProtection="1">
      <alignment horizontal="center" vertical="center"/>
    </xf>
    <xf numFmtId="0" fontId="4" fillId="4" borderId="22" xfId="0" applyFont="1" applyFill="1" applyBorder="1" applyAlignment="1" applyProtection="1">
      <alignment horizontal="center"/>
      <protection locked="0"/>
    </xf>
    <xf numFmtId="0" fontId="4" fillId="4" borderId="23" xfId="0" applyFont="1" applyFill="1" applyBorder="1" applyAlignment="1" applyProtection="1">
      <alignment horizontal="center"/>
      <protection locked="0"/>
    </xf>
    <xf numFmtId="0" fontId="4" fillId="4" borderId="24" xfId="0"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5" xfId="0" applyBorder="1" applyAlignment="1" applyProtection="1">
      <alignment horizontal="center"/>
      <protection locked="0"/>
    </xf>
    <xf numFmtId="0" fontId="3" fillId="10" borderId="0" xfId="0" applyFont="1" applyFill="1" applyAlignment="1" applyProtection="1">
      <alignment horizontal="center" vertical="center"/>
      <protection locked="0"/>
    </xf>
    <xf numFmtId="0" fontId="14" fillId="0" borderId="0" xfId="0" applyFont="1" applyBorder="1" applyAlignment="1" applyProtection="1">
      <alignment horizontal="center"/>
      <protection locked="0"/>
    </xf>
    <xf numFmtId="0" fontId="0" fillId="4" borderId="23" xfId="0" applyFill="1" applyBorder="1" applyAlignment="1" applyProtection="1">
      <alignment horizontal="center"/>
      <protection locked="0"/>
    </xf>
    <xf numFmtId="0" fontId="0" fillId="4" borderId="24" xfId="0" applyFill="1" applyBorder="1" applyAlignment="1" applyProtection="1">
      <alignment horizontal="center"/>
      <protection locked="0"/>
    </xf>
    <xf numFmtId="0" fontId="14" fillId="0" borderId="0" xfId="0" applyFont="1" applyAlignment="1" applyProtection="1">
      <alignment horizontal="center"/>
      <protection locked="0"/>
    </xf>
    <xf numFmtId="0" fontId="4" fillId="4" borderId="22"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locked="0"/>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cellXfs>
  <cellStyles count="4">
    <cellStyle name="Euro" xfId="1"/>
    <cellStyle name="Milliers" xfId="2" builtinId="3"/>
    <cellStyle name="Normal" xfId="0" builtinId="0"/>
    <cellStyle name="Pourcentage" xfId="3" builtinId="5"/>
  </cellStyles>
  <dxfs count="42">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dxf>
    <dxf>
      <font>
        <b/>
        <i val="0"/>
        <color rgb="FFFF0000"/>
      </font>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png"/><Relationship Id="rId7" Type="http://schemas.openxmlformats.org/officeDocument/2006/relationships/image" Target="../media/image7.jp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14</xdr:row>
      <xdr:rowOff>12700</xdr:rowOff>
    </xdr:from>
    <xdr:to>
      <xdr:col>2</xdr:col>
      <xdr:colOff>622300</xdr:colOff>
      <xdr:row>18</xdr:row>
      <xdr:rowOff>114300</xdr:rowOff>
    </xdr:to>
    <xdr:pic>
      <xdr:nvPicPr>
        <xdr:cNvPr id="10321"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527300"/>
          <a:ext cx="21971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231775</xdr:colOff>
      <xdr:row>55</xdr:row>
      <xdr:rowOff>28575</xdr:rowOff>
    </xdr:from>
    <xdr:to>
      <xdr:col>1</xdr:col>
      <xdr:colOff>523875</xdr:colOff>
      <xdr:row>62</xdr:row>
      <xdr:rowOff>50556</xdr:rowOff>
    </xdr:to>
    <xdr:pic>
      <xdr:nvPicPr>
        <xdr:cNvPr id="10322"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775" y="9410700"/>
          <a:ext cx="1054100" cy="1155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14</xdr:row>
      <xdr:rowOff>12700</xdr:rowOff>
    </xdr:from>
    <xdr:to>
      <xdr:col>5</xdr:col>
      <xdr:colOff>76200</xdr:colOff>
      <xdr:row>19</xdr:row>
      <xdr:rowOff>50800</xdr:rowOff>
    </xdr:to>
    <xdr:pic>
      <xdr:nvPicPr>
        <xdr:cNvPr id="10323"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2700" y="2527300"/>
          <a:ext cx="1651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546099</xdr:colOff>
      <xdr:row>14</xdr:row>
      <xdr:rowOff>15874</xdr:rowOff>
    </xdr:from>
    <xdr:to>
      <xdr:col>9</xdr:col>
      <xdr:colOff>108074</xdr:colOff>
      <xdr:row>18</xdr:row>
      <xdr:rowOff>76199</xdr:rowOff>
    </xdr:to>
    <xdr:pic>
      <xdr:nvPicPr>
        <xdr:cNvPr id="10324" name="Imag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56099" y="2759074"/>
          <a:ext cx="260997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371475</xdr:colOff>
      <xdr:row>14</xdr:row>
      <xdr:rowOff>6350</xdr:rowOff>
    </xdr:from>
    <xdr:to>
      <xdr:col>11</xdr:col>
      <xdr:colOff>28575</xdr:colOff>
      <xdr:row>19</xdr:row>
      <xdr:rowOff>6350</xdr:rowOff>
    </xdr:to>
    <xdr:pic>
      <xdr:nvPicPr>
        <xdr:cNvPr id="10325" name="Imag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29475" y="2749550"/>
          <a:ext cx="11811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727074</xdr:colOff>
      <xdr:row>57</xdr:row>
      <xdr:rowOff>88900</xdr:rowOff>
    </xdr:from>
    <xdr:to>
      <xdr:col>11</xdr:col>
      <xdr:colOff>475995</xdr:colOff>
      <xdr:row>61</xdr:row>
      <xdr:rowOff>133350</xdr:rowOff>
    </xdr:to>
    <xdr:pic>
      <xdr:nvPicPr>
        <xdr:cNvPr id="10327" name="Image 7" descr="logo_Eu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23074" y="9794875"/>
          <a:ext cx="2034921"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38100</xdr:rowOff>
    </xdr:from>
    <xdr:to>
      <xdr:col>1</xdr:col>
      <xdr:colOff>812800</xdr:colOff>
      <xdr:row>7</xdr:row>
      <xdr:rowOff>171546</xdr:rowOff>
    </xdr:to>
    <xdr:pic>
      <xdr:nvPicPr>
        <xdr:cNvPr id="10" name="Image 9" descr="Bloc_entete_2.jp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5400" y="38100"/>
          <a:ext cx="1612900" cy="1276446"/>
        </a:xfrm>
        <a:prstGeom prst="rect">
          <a:avLst/>
        </a:prstGeom>
      </xdr:spPr>
    </xdr:pic>
    <xdr:clientData/>
  </xdr:twoCellAnchor>
  <xdr:twoCellAnchor editAs="oneCell">
    <xdr:from>
      <xdr:col>10</xdr:col>
      <xdr:colOff>457201</xdr:colOff>
      <xdr:row>1</xdr:row>
      <xdr:rowOff>19694</xdr:rowOff>
    </xdr:from>
    <xdr:to>
      <xdr:col>12</xdr:col>
      <xdr:colOff>1</xdr:colOff>
      <xdr:row>8</xdr:row>
      <xdr:rowOff>66706</xdr:rowOff>
    </xdr:to>
    <xdr:pic>
      <xdr:nvPicPr>
        <xdr:cNvPr id="3" name="Image 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077201" y="181619"/>
          <a:ext cx="1066800" cy="1370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421005</xdr:colOff>
      <xdr:row>19</xdr:row>
      <xdr:rowOff>139700</xdr:rowOff>
    </xdr:from>
    <xdr:to>
      <xdr:col>10</xdr:col>
      <xdr:colOff>838153</xdr:colOff>
      <xdr:row>22</xdr:row>
      <xdr:rowOff>12700</xdr:rowOff>
    </xdr:to>
    <xdr:sp macro="" textlink="">
      <xdr:nvSpPr>
        <xdr:cNvPr id="1025" name="AutoShape 1"/>
        <xdr:cNvSpPr>
          <a:spLocks noChangeArrowheads="1"/>
        </xdr:cNvSpPr>
      </xdr:nvSpPr>
      <xdr:spPr bwMode="auto">
        <a:xfrm>
          <a:off x="9057005" y="3886200"/>
          <a:ext cx="1839595" cy="558800"/>
        </a:xfrm>
        <a:prstGeom prst="wedgeRoundRectCallout">
          <a:avLst>
            <a:gd name="adj1" fmla="val -39752"/>
            <a:gd name="adj2" fmla="val -258986"/>
            <a:gd name="adj3" fmla="val 16667"/>
          </a:avLst>
        </a:prstGeom>
        <a:solidFill>
          <a:srgbClr val="FFFFFF"/>
        </a:solidFill>
        <a:ln w="9525">
          <a:solidFill>
            <a:srgbClr val="000000"/>
          </a:solidFill>
          <a:miter lim="800000"/>
          <a:headEnd/>
          <a:tailEnd/>
        </a:ln>
      </xdr:spPr>
      <xdr:txBody>
        <a:bodyPr vertOverflow="clip" wrap="square" lIns="36576" tIns="27432" rIns="0" bIns="0" anchor="t" upright="1"/>
        <a:lstStyle/>
        <a:p>
          <a:pPr algn="ctr" rtl="0">
            <a:lnSpc>
              <a:spcPts val="900"/>
            </a:lnSpc>
            <a:defRPr sz="1000"/>
          </a:pPr>
          <a:r>
            <a:rPr lang="fr-FR" sz="1000" b="1" i="0" u="none" strike="noStrike" baseline="0">
              <a:solidFill>
                <a:srgbClr val="000000"/>
              </a:solidFill>
              <a:latin typeface="Arial"/>
              <a:cs typeface="Arial"/>
            </a:rPr>
            <a:t>Seulement  baisse de 10% ou CA réalisé en dessous de 10% du CA prévu</a:t>
          </a: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139700</xdr:colOff>
      <xdr:row>16</xdr:row>
      <xdr:rowOff>76200</xdr:rowOff>
    </xdr:from>
    <xdr:to>
      <xdr:col>10</xdr:col>
      <xdr:colOff>956954</xdr:colOff>
      <xdr:row>17</xdr:row>
      <xdr:rowOff>241143</xdr:rowOff>
    </xdr:to>
    <xdr:sp macro="" textlink="">
      <xdr:nvSpPr>
        <xdr:cNvPr id="5" name="AutoShape 1"/>
        <xdr:cNvSpPr>
          <a:spLocks noChangeArrowheads="1"/>
        </xdr:cNvSpPr>
      </xdr:nvSpPr>
      <xdr:spPr bwMode="auto">
        <a:xfrm>
          <a:off x="8674100" y="3644900"/>
          <a:ext cx="2074545" cy="355600"/>
        </a:xfrm>
        <a:prstGeom prst="wedgeRoundRectCallout">
          <a:avLst>
            <a:gd name="adj1" fmla="val -39752"/>
            <a:gd name="adj2" fmla="val -258986"/>
            <a:gd name="adj3" fmla="val 16667"/>
          </a:avLst>
        </a:prstGeom>
        <a:solidFill>
          <a:srgbClr val="FFFFFF"/>
        </a:solidFill>
        <a:ln w="9525">
          <a:solidFill>
            <a:srgbClr val="000000"/>
          </a:solidFill>
          <a:miter lim="800000"/>
          <a:headEnd/>
          <a:tailEnd/>
        </a:ln>
      </xdr:spPr>
      <xdr:txBody>
        <a:bodyPr vertOverflow="clip" wrap="square" lIns="36576" tIns="27432" rIns="0" bIns="0" anchor="t" upright="1"/>
        <a:lstStyle/>
        <a:p>
          <a:pPr algn="ctr" rtl="0">
            <a:defRPr sz="1000"/>
          </a:pPr>
          <a:r>
            <a:rPr lang="fr-FR" sz="1000" b="1" i="0" u="none" strike="noStrike" baseline="0">
              <a:solidFill>
                <a:srgbClr val="000000"/>
              </a:solidFill>
              <a:latin typeface="Arial"/>
              <a:cs typeface="Arial"/>
            </a:rPr>
            <a:t>Seulement  baisse de 10%</a:t>
          </a: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490852</xdr:colOff>
      <xdr:row>16</xdr:row>
      <xdr:rowOff>76834</xdr:rowOff>
    </xdr:from>
    <xdr:to>
      <xdr:col>7</xdr:col>
      <xdr:colOff>355568</xdr:colOff>
      <xdr:row>20</xdr:row>
      <xdr:rowOff>0</xdr:rowOff>
    </xdr:to>
    <xdr:sp macro="" textlink="">
      <xdr:nvSpPr>
        <xdr:cNvPr id="3073" name="AutoShape 1"/>
        <xdr:cNvSpPr>
          <a:spLocks noChangeArrowheads="1"/>
        </xdr:cNvSpPr>
      </xdr:nvSpPr>
      <xdr:spPr bwMode="auto">
        <a:xfrm rot="10800000">
          <a:off x="5799452" y="3480434"/>
          <a:ext cx="1693545" cy="621666"/>
        </a:xfrm>
        <a:prstGeom prst="wedgeRoundRectCallout">
          <a:avLst>
            <a:gd name="adj1" fmla="val 34782"/>
            <a:gd name="adj2" fmla="val 180185"/>
            <a:gd name="adj3" fmla="val 16667"/>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fr-FR" sz="1000" b="1" i="0" u="none" strike="noStrike" baseline="0">
              <a:solidFill>
                <a:srgbClr val="000000"/>
              </a:solidFill>
              <a:latin typeface="Arial"/>
              <a:cs typeface="Arial"/>
            </a:rPr>
            <a:t>le SMIC augmente de 3% en année 2 ==&gt; le taux de marge chute</a:t>
          </a:r>
        </a:p>
        <a:p>
          <a:pPr algn="ctr" rtl="0">
            <a:defRPr sz="1000"/>
          </a:pPr>
          <a:endParaRPr lang="fr-FR" sz="1000" b="1"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254000</xdr:colOff>
      <xdr:row>28</xdr:row>
      <xdr:rowOff>76835</xdr:rowOff>
    </xdr:from>
    <xdr:to>
      <xdr:col>8</xdr:col>
      <xdr:colOff>812099</xdr:colOff>
      <xdr:row>31</xdr:row>
      <xdr:rowOff>38211</xdr:rowOff>
    </xdr:to>
    <xdr:sp macro="" textlink="">
      <xdr:nvSpPr>
        <xdr:cNvPr id="4097" name="AutoShape 1"/>
        <xdr:cNvSpPr>
          <a:spLocks noChangeArrowheads="1"/>
        </xdr:cNvSpPr>
      </xdr:nvSpPr>
      <xdr:spPr bwMode="auto">
        <a:xfrm>
          <a:off x="4965700" y="5982335"/>
          <a:ext cx="3339482" cy="443992"/>
        </a:xfrm>
        <a:prstGeom prst="wedgeRoundRectCallout">
          <a:avLst>
            <a:gd name="adj1" fmla="val -55175"/>
            <a:gd name="adj2" fmla="val 115105"/>
            <a:gd name="adj3" fmla="val 16667"/>
          </a:avLst>
        </a:prstGeom>
        <a:solidFill>
          <a:srgbClr val="FFFFFF"/>
        </a:solidFill>
        <a:ln w="9525">
          <a:solidFill>
            <a:srgbClr val="000000"/>
          </a:solidFill>
          <a:miter lim="800000"/>
          <a:headEnd/>
          <a:tailEnd/>
        </a:ln>
      </xdr:spPr>
      <xdr:txBody>
        <a:bodyPr vertOverflow="clip" wrap="square" lIns="36576" tIns="27432" rIns="0" bIns="27432" anchor="ctr" upright="1"/>
        <a:lstStyle/>
        <a:p>
          <a:pPr algn="ctr" rtl="0">
            <a:defRPr sz="1000"/>
          </a:pPr>
          <a:r>
            <a:rPr lang="fr-FR" sz="1000" b="1" i="0" u="none" strike="noStrike" baseline="0">
              <a:solidFill>
                <a:srgbClr val="000000"/>
              </a:solidFill>
              <a:latin typeface="Arial"/>
              <a:cs typeface="Arial"/>
            </a:rPr>
            <a:t>Certaines charges sont plus élevées  du fait de la création d'une nouvelle agence en année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444499</xdr:colOff>
      <xdr:row>16</xdr:row>
      <xdr:rowOff>50800</xdr:rowOff>
    </xdr:from>
    <xdr:to>
      <xdr:col>11</xdr:col>
      <xdr:colOff>228600</xdr:colOff>
      <xdr:row>19</xdr:row>
      <xdr:rowOff>63684</xdr:rowOff>
    </xdr:to>
    <xdr:sp macro="" textlink="">
      <xdr:nvSpPr>
        <xdr:cNvPr id="5121" name="AutoShape 1"/>
        <xdr:cNvSpPr>
          <a:spLocks noChangeArrowheads="1"/>
        </xdr:cNvSpPr>
      </xdr:nvSpPr>
      <xdr:spPr bwMode="auto">
        <a:xfrm rot="10800000">
          <a:off x="7099299" y="3276600"/>
          <a:ext cx="3987801" cy="622300"/>
        </a:xfrm>
        <a:prstGeom prst="wedgeRoundRectCallout">
          <a:avLst>
            <a:gd name="adj1" fmla="val -8319"/>
            <a:gd name="adj2" fmla="val 1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fr-FR" sz="1000" b="1" i="0" u="none" strike="noStrike" baseline="0">
              <a:solidFill>
                <a:srgbClr val="000000"/>
              </a:solidFill>
              <a:latin typeface="Arial"/>
              <a:cs typeface="Arial"/>
            </a:rPr>
            <a:t>Baisse du CA (-10%) </a:t>
          </a:r>
        </a:p>
        <a:p>
          <a:pPr algn="ctr" rtl="0">
            <a:defRPr sz="1000"/>
          </a:pPr>
          <a:r>
            <a:rPr lang="fr-FR" sz="1000" b="1" i="0" u="none" strike="noStrike" baseline="0">
              <a:solidFill>
                <a:srgbClr val="000000"/>
              </a:solidFill>
              <a:latin typeface="Arial"/>
              <a:cs typeface="Arial"/>
            </a:rPr>
            <a:t>+</a:t>
          </a:r>
        </a:p>
        <a:p>
          <a:pPr algn="ctr" rtl="0">
            <a:defRPr sz="1000"/>
          </a:pPr>
          <a:r>
            <a:rPr lang="fr-FR" sz="1000" b="1" i="0" u="none" strike="noStrike" baseline="0">
              <a:solidFill>
                <a:srgbClr val="000000"/>
              </a:solidFill>
              <a:latin typeface="Arial"/>
              <a:cs typeface="Arial"/>
            </a:rPr>
            <a:t>Baisse du prix: 1 € en moins facturé par service proposé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1333500</xdr:colOff>
      <xdr:row>17</xdr:row>
      <xdr:rowOff>101600</xdr:rowOff>
    </xdr:from>
    <xdr:to>
      <xdr:col>12</xdr:col>
      <xdr:colOff>495695</xdr:colOff>
      <xdr:row>21</xdr:row>
      <xdr:rowOff>66</xdr:rowOff>
    </xdr:to>
    <xdr:sp macro="" textlink="">
      <xdr:nvSpPr>
        <xdr:cNvPr id="3" name="AutoShape 1"/>
        <xdr:cNvSpPr>
          <a:spLocks noChangeArrowheads="1"/>
        </xdr:cNvSpPr>
      </xdr:nvSpPr>
      <xdr:spPr bwMode="auto">
        <a:xfrm rot="10800000">
          <a:off x="9906000" y="3683000"/>
          <a:ext cx="2032000" cy="850900"/>
        </a:xfrm>
        <a:prstGeom prst="wedgeRoundRectCallout">
          <a:avLst>
            <a:gd name="adj1" fmla="val -10541"/>
            <a:gd name="adj2" fmla="val 14122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000000"/>
              </a:solidFill>
              <a:effectLst/>
              <a:uLnTx/>
              <a:uFillTx/>
              <a:latin typeface="Arial"/>
              <a:cs typeface="Arial"/>
            </a:rPr>
            <a:t>Augmentation du taux de TVA de 7% à 10% </a:t>
          </a:r>
          <a:r>
            <a:rPr kumimoji="0" lang="fr-FR" sz="1000" b="1" i="0" u="none" strike="noStrike" kern="0" cap="none" spc="0" normalizeH="0" baseline="0" noProof="0">
              <a:ln>
                <a:noFill/>
              </a:ln>
              <a:solidFill>
                <a:srgbClr val="FF0000"/>
              </a:solidFill>
              <a:effectLst/>
              <a:uLnTx/>
              <a:uFillTx/>
              <a:latin typeface="Arial"/>
              <a:cs typeface="Arial"/>
            </a:rPr>
            <a:t>sans augmentation de prix ==&gt; l'entreprise supporte seule l'augmentation de la TVA sans la répercuter sur les prix</a:t>
          </a: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tabSelected="1" zoomScaleNormal="100" workbookViewId="0">
      <selection activeCell="O20" sqref="O20"/>
    </sheetView>
  </sheetViews>
  <sheetFormatPr baseColWidth="10" defaultRowHeight="12.75" x14ac:dyDescent="0.2"/>
  <sheetData>
    <row r="2" spans="1:11" x14ac:dyDescent="0.2">
      <c r="C2" t="s">
        <v>102</v>
      </c>
    </row>
    <row r="7" spans="1:11" s="1" customFormat="1" ht="20.25" x14ac:dyDescent="0.3">
      <c r="A7" s="150"/>
      <c r="B7" s="150"/>
      <c r="C7" s="150"/>
      <c r="D7" s="150"/>
      <c r="E7" s="150"/>
      <c r="F7" s="150"/>
      <c r="G7" s="150"/>
      <c r="H7" s="150"/>
      <c r="I7" s="150"/>
      <c r="J7" s="150"/>
      <c r="K7" s="150"/>
    </row>
    <row r="8" spans="1:11" s="1" customFormat="1" ht="20.25" x14ac:dyDescent="0.3">
      <c r="A8" s="2"/>
      <c r="B8" s="2"/>
      <c r="C8" s="2"/>
      <c r="D8" s="2"/>
      <c r="E8" s="2"/>
      <c r="F8" s="2"/>
      <c r="G8" s="2"/>
      <c r="H8" s="2"/>
      <c r="I8" s="2"/>
      <c r="J8" s="2"/>
      <c r="K8" s="2"/>
    </row>
    <row r="9" spans="1:11" s="1" customFormat="1" ht="20.25" x14ac:dyDescent="0.3">
      <c r="A9" s="150" t="s">
        <v>105</v>
      </c>
      <c r="B9" s="150"/>
      <c r="C9" s="150"/>
      <c r="D9" s="150"/>
      <c r="E9" s="150"/>
      <c r="F9" s="150"/>
      <c r="G9" s="150"/>
      <c r="H9" s="150"/>
      <c r="I9" s="150"/>
      <c r="J9" s="150"/>
      <c r="K9" s="150"/>
    </row>
    <row r="10" spans="1:11" s="1" customFormat="1" ht="20.25" x14ac:dyDescent="0.3">
      <c r="A10" s="2"/>
      <c r="B10" s="2"/>
      <c r="C10" s="2"/>
      <c r="D10" s="2"/>
      <c r="E10" s="2"/>
      <c r="F10" s="2"/>
      <c r="G10" s="2"/>
      <c r="H10" s="2"/>
      <c r="I10" s="2"/>
      <c r="J10" s="2"/>
      <c r="K10" s="2"/>
    </row>
    <row r="11" spans="1:11" s="1" customFormat="1" ht="20.25" x14ac:dyDescent="0.3">
      <c r="A11" s="150" t="s">
        <v>104</v>
      </c>
      <c r="B11" s="150"/>
      <c r="C11" s="150"/>
      <c r="D11" s="150"/>
      <c r="E11" s="150"/>
      <c r="F11" s="150"/>
      <c r="G11" s="150"/>
      <c r="H11" s="150"/>
      <c r="I11" s="150"/>
      <c r="J11" s="150"/>
      <c r="K11" s="150"/>
    </row>
    <row r="35" spans="1:12" x14ac:dyDescent="0.2">
      <c r="C35" s="3"/>
    </row>
    <row r="36" spans="1:12" x14ac:dyDescent="0.2">
      <c r="A36" t="s">
        <v>103</v>
      </c>
    </row>
    <row r="37" spans="1:12" x14ac:dyDescent="0.2">
      <c r="J37" s="4"/>
    </row>
    <row r="41" spans="1:12" x14ac:dyDescent="0.2">
      <c r="A41" s="151" t="s">
        <v>106</v>
      </c>
      <c r="B41" s="151"/>
      <c r="C41" s="151"/>
      <c r="D41" s="151"/>
      <c r="E41" s="151"/>
      <c r="F41" s="151"/>
      <c r="G41" s="151"/>
      <c r="H41" s="151"/>
      <c r="I41" s="151"/>
      <c r="J41" s="151"/>
      <c r="K41" s="151"/>
      <c r="L41" s="151"/>
    </row>
    <row r="42" spans="1:12" x14ac:dyDescent="0.2">
      <c r="A42" s="151"/>
      <c r="B42" s="151"/>
      <c r="C42" s="151"/>
      <c r="D42" s="151"/>
      <c r="E42" s="151"/>
      <c r="F42" s="151"/>
      <c r="G42" s="151"/>
      <c r="H42" s="151"/>
      <c r="I42" s="151"/>
      <c r="J42" s="151"/>
      <c r="K42" s="151"/>
      <c r="L42" s="151"/>
    </row>
    <row r="43" spans="1:12" x14ac:dyDescent="0.2">
      <c r="A43" s="151"/>
      <c r="B43" s="151"/>
      <c r="C43" s="151"/>
      <c r="D43" s="151"/>
      <c r="E43" s="151"/>
      <c r="F43" s="151"/>
      <c r="G43" s="151"/>
      <c r="H43" s="151"/>
      <c r="I43" s="151"/>
      <c r="J43" s="151"/>
      <c r="K43" s="151"/>
      <c r="L43" s="151"/>
    </row>
    <row r="44" spans="1:12" x14ac:dyDescent="0.2">
      <c r="A44" s="151"/>
      <c r="B44" s="151"/>
      <c r="C44" s="151"/>
      <c r="D44" s="151"/>
      <c r="E44" s="151"/>
      <c r="F44" s="151"/>
      <c r="G44" s="151"/>
      <c r="H44" s="151"/>
      <c r="I44" s="151"/>
      <c r="J44" s="151"/>
      <c r="K44" s="151"/>
      <c r="L44" s="151"/>
    </row>
    <row r="45" spans="1:12" x14ac:dyDescent="0.2">
      <c r="A45" s="151"/>
      <c r="B45" s="151"/>
      <c r="C45" s="151"/>
      <c r="D45" s="151"/>
      <c r="E45" s="151"/>
      <c r="F45" s="151"/>
      <c r="G45" s="151"/>
      <c r="H45" s="151"/>
      <c r="I45" s="151"/>
      <c r="J45" s="151"/>
      <c r="K45" s="151"/>
      <c r="L45" s="151"/>
    </row>
    <row r="46" spans="1:12" x14ac:dyDescent="0.2">
      <c r="A46" s="151"/>
      <c r="B46" s="151"/>
      <c r="C46" s="151"/>
      <c r="D46" s="151"/>
      <c r="E46" s="151"/>
      <c r="F46" s="151"/>
      <c r="G46" s="151"/>
      <c r="H46" s="151"/>
      <c r="I46" s="151"/>
      <c r="J46" s="151"/>
      <c r="K46" s="151"/>
      <c r="L46" s="151"/>
    </row>
    <row r="47" spans="1:12" x14ac:dyDescent="0.2">
      <c r="A47" s="151"/>
      <c r="B47" s="151"/>
      <c r="C47" s="151"/>
      <c r="D47" s="151"/>
      <c r="E47" s="151"/>
      <c r="F47" s="151"/>
      <c r="G47" s="151"/>
      <c r="H47" s="151"/>
      <c r="I47" s="151"/>
      <c r="J47" s="151"/>
      <c r="K47" s="151"/>
      <c r="L47" s="151"/>
    </row>
    <row r="48" spans="1:12" x14ac:dyDescent="0.2">
      <c r="A48" s="151"/>
      <c r="B48" s="151"/>
      <c r="C48" s="151"/>
      <c r="D48" s="151"/>
      <c r="E48" s="151"/>
      <c r="F48" s="151"/>
      <c r="G48" s="151"/>
      <c r="H48" s="151"/>
      <c r="I48" s="151"/>
      <c r="J48" s="151"/>
      <c r="K48" s="151"/>
      <c r="L48" s="151"/>
    </row>
    <row r="49" spans="1:12" x14ac:dyDescent="0.2">
      <c r="A49" s="151"/>
      <c r="B49" s="151"/>
      <c r="C49" s="151"/>
      <c r="D49" s="151"/>
      <c r="E49" s="151"/>
      <c r="F49" s="151"/>
      <c r="G49" s="151"/>
      <c r="H49" s="151"/>
      <c r="I49" s="151"/>
      <c r="J49" s="151"/>
      <c r="K49" s="151"/>
      <c r="L49" s="151"/>
    </row>
    <row r="50" spans="1:12" x14ac:dyDescent="0.2">
      <c r="A50" s="151"/>
      <c r="B50" s="151"/>
      <c r="C50" s="151"/>
      <c r="D50" s="151"/>
      <c r="E50" s="151"/>
      <c r="F50" s="151"/>
      <c r="G50" s="151"/>
      <c r="H50" s="151"/>
      <c r="I50" s="151"/>
      <c r="J50" s="151"/>
      <c r="K50" s="151"/>
      <c r="L50" s="151"/>
    </row>
    <row r="51" spans="1:12" x14ac:dyDescent="0.2">
      <c r="A51" s="151"/>
      <c r="B51" s="151"/>
      <c r="C51" s="151"/>
      <c r="D51" s="151"/>
      <c r="E51" s="151"/>
      <c r="F51" s="151"/>
      <c r="G51" s="151"/>
      <c r="H51" s="151"/>
      <c r="I51" s="151"/>
      <c r="J51" s="151"/>
      <c r="K51" s="151"/>
      <c r="L51" s="151"/>
    </row>
    <row r="52" spans="1:12" x14ac:dyDescent="0.2">
      <c r="A52" s="151"/>
      <c r="B52" s="151"/>
      <c r="C52" s="151"/>
      <c r="D52" s="151"/>
      <c r="E52" s="151"/>
      <c r="F52" s="151"/>
      <c r="G52" s="151"/>
      <c r="H52" s="151"/>
      <c r="I52" s="151"/>
      <c r="J52" s="151"/>
      <c r="K52" s="151"/>
      <c r="L52" s="151"/>
    </row>
    <row r="53" spans="1:12" x14ac:dyDescent="0.2">
      <c r="A53" s="151"/>
      <c r="B53" s="151"/>
      <c r="C53" s="151"/>
      <c r="D53" s="151"/>
      <c r="E53" s="151"/>
      <c r="F53" s="151"/>
      <c r="G53" s="151"/>
      <c r="H53" s="151"/>
      <c r="I53" s="151"/>
      <c r="J53" s="151"/>
      <c r="K53" s="151"/>
      <c r="L53" s="151"/>
    </row>
  </sheetData>
  <mergeCells count="4">
    <mergeCell ref="A7:K7"/>
    <mergeCell ref="A9:K9"/>
    <mergeCell ref="A11:K11"/>
    <mergeCell ref="A41:L53"/>
  </mergeCells>
  <pageMargins left="1.0236220472440944" right="3.937007874015748E-2" top="0.74803149606299213" bottom="0.55118110236220474" header="0.31496062992125984" footer="0.31496062992125984"/>
  <pageSetup paperSize="9"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L37"/>
  <sheetViews>
    <sheetView workbookViewId="0">
      <selection activeCell="J28" sqref="J28"/>
    </sheetView>
  </sheetViews>
  <sheetFormatPr baseColWidth="10" defaultColWidth="11.42578125" defaultRowHeight="12.75" x14ac:dyDescent="0.2"/>
  <cols>
    <col min="1" max="1" width="11.42578125" style="139"/>
    <col min="2" max="2" width="8.7109375" style="139" customWidth="1"/>
    <col min="3" max="9" width="11.42578125" style="139"/>
    <col min="10" max="10" width="41.42578125" style="139" customWidth="1"/>
    <col min="11" max="16384" width="11.42578125" style="139"/>
  </cols>
  <sheetData>
    <row r="1" spans="1:10" ht="28.5" customHeight="1" x14ac:dyDescent="0.2">
      <c r="A1" s="152" t="s">
        <v>63</v>
      </c>
      <c r="B1" s="152"/>
      <c r="C1" s="152"/>
      <c r="D1" s="152"/>
      <c r="E1" s="152"/>
      <c r="F1" s="152"/>
      <c r="G1" s="152"/>
      <c r="H1" s="152"/>
      <c r="I1" s="152"/>
      <c r="J1" s="152"/>
    </row>
    <row r="2" spans="1:10" ht="15.75" x14ac:dyDescent="0.25">
      <c r="A2" s="140" t="s">
        <v>54</v>
      </c>
      <c r="B2" s="141"/>
      <c r="C2" s="141"/>
      <c r="D2" s="141"/>
      <c r="E2" s="141"/>
      <c r="F2" s="141"/>
      <c r="G2" s="141"/>
      <c r="H2" s="141"/>
      <c r="I2" s="141"/>
      <c r="J2" s="141"/>
    </row>
    <row r="3" spans="1:10" ht="15.75" x14ac:dyDescent="0.25">
      <c r="A3" s="142"/>
    </row>
    <row r="4" spans="1:10" x14ac:dyDescent="0.2">
      <c r="A4" s="143" t="s">
        <v>71</v>
      </c>
    </row>
    <row r="5" spans="1:10" x14ac:dyDescent="0.2">
      <c r="A5" s="143" t="s">
        <v>72</v>
      </c>
    </row>
    <row r="6" spans="1:10" x14ac:dyDescent="0.2">
      <c r="A6" s="139" t="s">
        <v>57</v>
      </c>
    </row>
    <row r="7" spans="1:10" x14ac:dyDescent="0.2">
      <c r="A7" s="143" t="s">
        <v>68</v>
      </c>
    </row>
    <row r="8" spans="1:10" x14ac:dyDescent="0.2">
      <c r="A8" s="143" t="s">
        <v>69</v>
      </c>
    </row>
    <row r="9" spans="1:10" x14ac:dyDescent="0.2">
      <c r="A9" s="143" t="s">
        <v>61</v>
      </c>
    </row>
    <row r="10" spans="1:10" x14ac:dyDescent="0.2">
      <c r="A10" s="143"/>
    </row>
    <row r="11" spans="1:10" ht="15.75" x14ac:dyDescent="0.25">
      <c r="A11" s="140" t="s">
        <v>55</v>
      </c>
      <c r="B11" s="141"/>
      <c r="C11" s="141"/>
      <c r="D11" s="141"/>
      <c r="E11" s="141"/>
      <c r="F11" s="141"/>
      <c r="G11" s="141"/>
      <c r="H11" s="141"/>
      <c r="I11" s="141"/>
      <c r="J11" s="141"/>
    </row>
    <row r="12" spans="1:10" ht="15.75" x14ac:dyDescent="0.25">
      <c r="A12" s="142"/>
    </row>
    <row r="13" spans="1:10" x14ac:dyDescent="0.2">
      <c r="A13" s="143" t="s">
        <v>73</v>
      </c>
    </row>
    <row r="14" spans="1:10" x14ac:dyDescent="0.2">
      <c r="A14" s="143" t="s">
        <v>66</v>
      </c>
    </row>
    <row r="15" spans="1:10" x14ac:dyDescent="0.2">
      <c r="A15" s="143" t="s">
        <v>67</v>
      </c>
    </row>
    <row r="16" spans="1:10" x14ac:dyDescent="0.2">
      <c r="A16" s="143" t="s">
        <v>70</v>
      </c>
    </row>
    <row r="17" spans="1:1" x14ac:dyDescent="0.2">
      <c r="A17" s="143"/>
    </row>
    <row r="18" spans="1:1" x14ac:dyDescent="0.2">
      <c r="A18" s="143" t="s">
        <v>83</v>
      </c>
    </row>
    <row r="19" spans="1:1" x14ac:dyDescent="0.2">
      <c r="A19" s="143" t="s">
        <v>84</v>
      </c>
    </row>
    <row r="20" spans="1:1" x14ac:dyDescent="0.2">
      <c r="A20" s="143" t="s">
        <v>82</v>
      </c>
    </row>
    <row r="21" spans="1:1" x14ac:dyDescent="0.2">
      <c r="A21" s="143" t="s">
        <v>85</v>
      </c>
    </row>
    <row r="22" spans="1:1" x14ac:dyDescent="0.2">
      <c r="A22" s="143" t="s">
        <v>86</v>
      </c>
    </row>
    <row r="23" spans="1:1" x14ac:dyDescent="0.2">
      <c r="A23" s="143" t="s">
        <v>89</v>
      </c>
    </row>
    <row r="24" spans="1:1" x14ac:dyDescent="0.2">
      <c r="A24" s="143" t="s">
        <v>87</v>
      </c>
    </row>
    <row r="25" spans="1:1" x14ac:dyDescent="0.2">
      <c r="A25" s="143" t="s">
        <v>88</v>
      </c>
    </row>
    <row r="26" spans="1:1" x14ac:dyDescent="0.2">
      <c r="A26" s="143" t="s">
        <v>90</v>
      </c>
    </row>
    <row r="27" spans="1:1" x14ac:dyDescent="0.2">
      <c r="A27" s="143" t="s">
        <v>91</v>
      </c>
    </row>
    <row r="28" spans="1:1" x14ac:dyDescent="0.2">
      <c r="A28" s="143" t="s">
        <v>95</v>
      </c>
    </row>
    <row r="29" spans="1:1" x14ac:dyDescent="0.2">
      <c r="A29" s="143" t="s">
        <v>92</v>
      </c>
    </row>
    <row r="30" spans="1:1" x14ac:dyDescent="0.2">
      <c r="A30" s="143" t="s">
        <v>93</v>
      </c>
    </row>
    <row r="31" spans="1:1" x14ac:dyDescent="0.2">
      <c r="A31" s="143" t="s">
        <v>94</v>
      </c>
    </row>
    <row r="33" spans="1:12" ht="15.75" x14ac:dyDescent="0.25">
      <c r="A33" s="140" t="s">
        <v>56</v>
      </c>
      <c r="B33" s="141"/>
      <c r="C33" s="141"/>
      <c r="D33" s="141"/>
      <c r="E33" s="141"/>
      <c r="F33" s="141"/>
      <c r="G33" s="141"/>
      <c r="H33" s="141"/>
      <c r="I33" s="141"/>
      <c r="J33" s="141"/>
    </row>
    <row r="35" spans="1:12" x14ac:dyDescent="0.2">
      <c r="A35" s="144" t="s">
        <v>58</v>
      </c>
      <c r="B35" s="145"/>
      <c r="C35" s="143" t="s">
        <v>60</v>
      </c>
    </row>
    <row r="36" spans="1:12" x14ac:dyDescent="0.2">
      <c r="A36" s="146" t="s">
        <v>58</v>
      </c>
      <c r="B36" s="147"/>
      <c r="C36" s="143" t="s">
        <v>62</v>
      </c>
      <c r="L36" s="148"/>
    </row>
    <row r="37" spans="1:12" x14ac:dyDescent="0.2">
      <c r="A37" s="144" t="s">
        <v>58</v>
      </c>
      <c r="B37" s="149"/>
      <c r="C37" s="143" t="s">
        <v>59</v>
      </c>
    </row>
  </sheetData>
  <sheetProtection sheet="1"/>
  <mergeCells count="1">
    <mergeCell ref="A1:J1"/>
  </mergeCells>
  <pageMargins left="0.23622047244094491" right="0.23622047244094491" top="0.55118110236220474" bottom="0.39370078740157483" header="0.31496062992125984" footer="0.31496062992125984"/>
  <pageSetup paperSize="9"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O64"/>
  <sheetViews>
    <sheetView zoomScale="75" zoomScaleNormal="75" zoomScalePageLayoutView="75" workbookViewId="0">
      <selection activeCell="K9" sqref="K9"/>
    </sheetView>
  </sheetViews>
  <sheetFormatPr baseColWidth="10" defaultColWidth="11.42578125" defaultRowHeight="12.75" x14ac:dyDescent="0.2"/>
  <cols>
    <col min="1" max="1" width="33" style="5" customWidth="1"/>
    <col min="2" max="4" width="12.7109375" style="5" customWidth="1"/>
    <col min="5" max="7" width="7.7109375" style="5" customWidth="1"/>
    <col min="8" max="8" width="21.42578125" style="59" customWidth="1"/>
    <col min="9" max="9" width="12.140625" style="5" customWidth="1"/>
    <col min="10" max="10" width="20.42578125" style="60" customWidth="1"/>
    <col min="11" max="12" width="11.42578125" style="5"/>
    <col min="13" max="13" width="12.85546875" style="5" customWidth="1"/>
    <col min="14" max="14" width="17.28515625" style="5" customWidth="1"/>
    <col min="15" max="16384" width="11.42578125" style="5"/>
  </cols>
  <sheetData>
    <row r="1" spans="1:15" ht="24.75" customHeight="1" x14ac:dyDescent="0.2">
      <c r="A1" s="160" t="s">
        <v>74</v>
      </c>
      <c r="B1" s="160"/>
      <c r="C1" s="160"/>
      <c r="D1" s="160"/>
      <c r="E1" s="160"/>
      <c r="F1" s="160"/>
      <c r="G1" s="160"/>
      <c r="H1" s="160"/>
      <c r="I1" s="160"/>
      <c r="J1" s="160"/>
      <c r="K1" s="160"/>
      <c r="L1" s="160"/>
      <c r="M1" s="160"/>
      <c r="N1" s="160"/>
    </row>
    <row r="2" spans="1:15" ht="15.75" x14ac:dyDescent="0.25">
      <c r="A2" s="161" t="s">
        <v>81</v>
      </c>
      <c r="B2" s="161"/>
      <c r="C2" s="161"/>
      <c r="D2" s="161"/>
      <c r="E2" s="161"/>
      <c r="F2" s="161"/>
      <c r="G2" s="161"/>
      <c r="H2" s="161"/>
      <c r="I2" s="161"/>
      <c r="J2" s="161"/>
      <c r="K2" s="161"/>
      <c r="L2" s="161"/>
      <c r="M2" s="161"/>
      <c r="N2" s="161"/>
    </row>
    <row r="3" spans="1:15" ht="15" x14ac:dyDescent="0.2">
      <c r="A3" s="6"/>
      <c r="B3" s="7"/>
      <c r="C3" s="7"/>
      <c r="D3" s="7"/>
      <c r="E3" s="7"/>
      <c r="F3" s="8"/>
      <c r="G3" s="8"/>
      <c r="H3" s="9"/>
      <c r="I3" s="8"/>
      <c r="J3" s="10"/>
      <c r="K3" s="8"/>
      <c r="L3" s="8"/>
      <c r="M3" s="8"/>
      <c r="N3" s="8"/>
    </row>
    <row r="4" spans="1:15" ht="14.25" x14ac:dyDescent="0.2">
      <c r="A4" s="7"/>
      <c r="B4" s="7"/>
      <c r="C4" s="7"/>
      <c r="D4" s="7"/>
      <c r="E4" s="8" t="s">
        <v>0</v>
      </c>
      <c r="F4" s="8"/>
      <c r="G4" s="11">
        <v>0.35</v>
      </c>
      <c r="H4" s="9"/>
      <c r="I4" s="8"/>
      <c r="J4" s="10"/>
      <c r="K4" s="8"/>
      <c r="L4" s="8"/>
      <c r="M4" s="8"/>
      <c r="N4" s="8"/>
    </row>
    <row r="5" spans="1:15" x14ac:dyDescent="0.2">
      <c r="A5" s="8"/>
      <c r="B5" s="8"/>
      <c r="C5" s="8"/>
      <c r="D5" s="8"/>
      <c r="E5" s="8"/>
      <c r="F5" s="8"/>
      <c r="G5" s="8"/>
      <c r="H5" s="9"/>
      <c r="I5" s="8"/>
      <c r="J5" s="10"/>
      <c r="K5" s="8"/>
      <c r="L5" s="8"/>
      <c r="M5" s="8"/>
      <c r="N5" s="8"/>
    </row>
    <row r="6" spans="1:15" ht="13.5" thickBot="1" x14ac:dyDescent="0.25">
      <c r="A6" s="12"/>
      <c r="B6" s="13" t="s">
        <v>1</v>
      </c>
      <c r="C6" s="13" t="s">
        <v>2</v>
      </c>
      <c r="D6" s="14" t="s">
        <v>3</v>
      </c>
      <c r="E6" s="156" t="s">
        <v>53</v>
      </c>
      <c r="F6" s="157"/>
      <c r="G6" s="8"/>
      <c r="H6" s="9"/>
      <c r="I6" s="8"/>
      <c r="J6" s="10"/>
      <c r="K6" s="8"/>
      <c r="L6" s="8"/>
      <c r="M6" s="8"/>
      <c r="N6" s="8"/>
    </row>
    <row r="7" spans="1:15" x14ac:dyDescent="0.2">
      <c r="A7" s="8"/>
      <c r="B7" s="15" t="s">
        <v>4</v>
      </c>
      <c r="C7" s="15" t="s">
        <v>4</v>
      </c>
      <c r="D7" s="15" t="s">
        <v>4</v>
      </c>
      <c r="E7" s="158"/>
      <c r="F7" s="159"/>
      <c r="G7" s="8"/>
      <c r="H7" s="153" t="s">
        <v>5</v>
      </c>
      <c r="I7" s="154"/>
      <c r="J7" s="154"/>
      <c r="K7" s="154"/>
      <c r="L7" s="154"/>
      <c r="M7" s="154"/>
      <c r="N7" s="155"/>
    </row>
    <row r="8" spans="1:15" ht="26.25" x14ac:dyDescent="0.25">
      <c r="A8" s="16" t="s">
        <v>6</v>
      </c>
      <c r="B8" s="69">
        <f>N14</f>
        <v>156841.60000000001</v>
      </c>
      <c r="C8" s="69">
        <f>B8*2.1271</f>
        <v>333617.76736</v>
      </c>
      <c r="D8" s="69">
        <f>C8*1.55</f>
        <v>517107.53940800001</v>
      </c>
      <c r="E8" s="18">
        <f>C8/B8</f>
        <v>2.1271</v>
      </c>
      <c r="F8" s="18">
        <f>D8/C8</f>
        <v>1.55</v>
      </c>
      <c r="G8" s="19"/>
      <c r="H8" s="20" t="s">
        <v>36</v>
      </c>
      <c r="I8" s="21" t="s">
        <v>42</v>
      </c>
      <c r="J8" s="21" t="s">
        <v>45</v>
      </c>
      <c r="K8" s="22" t="s">
        <v>38</v>
      </c>
      <c r="L8" s="22" t="s">
        <v>40</v>
      </c>
      <c r="M8" s="15" t="s">
        <v>7</v>
      </c>
      <c r="N8" s="23" t="s">
        <v>8</v>
      </c>
    </row>
    <row r="9" spans="1:15" ht="25.5" x14ac:dyDescent="0.2">
      <c r="A9" s="24" t="s">
        <v>10</v>
      </c>
      <c r="B9" s="25">
        <v>18000</v>
      </c>
      <c r="C9" s="25">
        <v>22000</v>
      </c>
      <c r="D9" s="25">
        <v>42000</v>
      </c>
      <c r="E9" s="18">
        <f>C9/B9</f>
        <v>1.2222222222222223</v>
      </c>
      <c r="F9" s="18">
        <f>D9/C9</f>
        <v>1.9090909090909092</v>
      </c>
      <c r="G9" s="19"/>
      <c r="H9" s="26" t="s">
        <v>37</v>
      </c>
      <c r="I9" s="27">
        <v>21</v>
      </c>
      <c r="J9" s="28">
        <v>2080</v>
      </c>
      <c r="K9" s="61">
        <f>(J9*I9)</f>
        <v>43680</v>
      </c>
      <c r="L9" s="62">
        <v>7.0000000000000007E-2</v>
      </c>
      <c r="M9" s="63">
        <f>K9+(K9*L9)</f>
        <v>46737.599999999999</v>
      </c>
      <c r="N9" s="64">
        <f>M9/(1+L9)</f>
        <v>43679.999999999993</v>
      </c>
      <c r="O9" s="29"/>
    </row>
    <row r="10" spans="1:15" s="32" customFormat="1" x14ac:dyDescent="0.2">
      <c r="A10" s="24" t="s">
        <v>14</v>
      </c>
      <c r="B10" s="25">
        <v>93800</v>
      </c>
      <c r="C10" s="25">
        <v>189000</v>
      </c>
      <c r="D10" s="25">
        <v>310000</v>
      </c>
      <c r="E10" s="18"/>
      <c r="F10" s="18"/>
      <c r="G10" s="12"/>
      <c r="H10" s="26" t="s">
        <v>39</v>
      </c>
      <c r="I10" s="30">
        <v>28</v>
      </c>
      <c r="J10" s="31">
        <v>460</v>
      </c>
      <c r="K10" s="61">
        <f>(J10*I10)</f>
        <v>12880</v>
      </c>
      <c r="L10" s="62">
        <v>7.0000000000000007E-2</v>
      </c>
      <c r="M10" s="63">
        <f>K10+(K10*L10)</f>
        <v>13781.6</v>
      </c>
      <c r="N10" s="64">
        <f>M10/(1+L10)</f>
        <v>12880</v>
      </c>
      <c r="O10" s="29"/>
    </row>
    <row r="11" spans="1:15" ht="26.25" x14ac:dyDescent="0.25">
      <c r="A11" s="16" t="s">
        <v>11</v>
      </c>
      <c r="B11" s="69">
        <f>+B8-B9-B10</f>
        <v>45041.600000000006</v>
      </c>
      <c r="C11" s="69">
        <f>+C8-C9-C10</f>
        <v>122617.76736</v>
      </c>
      <c r="D11" s="69">
        <f>+D8-D9-D10</f>
        <v>165107.53940800001</v>
      </c>
      <c r="E11" s="33">
        <f>B11/B8</f>
        <v>0.28717891171729953</v>
      </c>
      <c r="F11" s="33">
        <f>C11/C8</f>
        <v>0.36753967970682361</v>
      </c>
      <c r="G11" s="8"/>
      <c r="H11" s="26" t="s">
        <v>41</v>
      </c>
      <c r="I11" s="27">
        <v>27</v>
      </c>
      <c r="J11" s="28">
        <v>1440</v>
      </c>
      <c r="K11" s="61">
        <f>(J11*I11)</f>
        <v>38880</v>
      </c>
      <c r="L11" s="62">
        <v>7.0000000000000007E-2</v>
      </c>
      <c r="M11" s="63">
        <f>K11+(K11*L11)</f>
        <v>41601.599999999999</v>
      </c>
      <c r="N11" s="64">
        <f>M11/(1+L11)</f>
        <v>38880</v>
      </c>
      <c r="O11" s="29"/>
    </row>
    <row r="12" spans="1:15" x14ac:dyDescent="0.2">
      <c r="A12" s="24" t="s">
        <v>12</v>
      </c>
      <c r="B12" s="25">
        <f>+B45</f>
        <v>44329.599999999999</v>
      </c>
      <c r="C12" s="25">
        <f>+C45</f>
        <v>68588.110459999996</v>
      </c>
      <c r="D12" s="25">
        <f>+D45</f>
        <v>83016.221212999997</v>
      </c>
      <c r="E12" s="8"/>
      <c r="F12" s="8"/>
      <c r="G12" s="8"/>
      <c r="H12" s="26" t="s">
        <v>44</v>
      </c>
      <c r="I12" s="27">
        <v>8.34</v>
      </c>
      <c r="J12" s="34">
        <v>6240</v>
      </c>
      <c r="K12" s="61">
        <f>(J12*I12)</f>
        <v>52041.599999999999</v>
      </c>
      <c r="L12" s="62">
        <v>7.0000000000000007E-2</v>
      </c>
      <c r="M12" s="63">
        <f>K12+(K12*L12)</f>
        <v>55684.512000000002</v>
      </c>
      <c r="N12" s="64">
        <f>M12/(1+L12)</f>
        <v>52041.599999999999</v>
      </c>
      <c r="O12" s="29"/>
    </row>
    <row r="13" spans="1:15" x14ac:dyDescent="0.2">
      <c r="A13" s="24" t="s">
        <v>13</v>
      </c>
      <c r="B13" s="25">
        <v>3000</v>
      </c>
      <c r="C13" s="25">
        <v>4000</v>
      </c>
      <c r="D13" s="25">
        <v>5000</v>
      </c>
      <c r="E13" s="8"/>
      <c r="F13" s="8"/>
      <c r="G13" s="8"/>
      <c r="H13" s="26" t="s">
        <v>43</v>
      </c>
      <c r="I13" s="35">
        <v>9</v>
      </c>
      <c r="J13" s="36">
        <v>1040</v>
      </c>
      <c r="K13" s="61">
        <f>(J13*I13)</f>
        <v>9360</v>
      </c>
      <c r="L13" s="62">
        <v>7.0000000000000007E-2</v>
      </c>
      <c r="M13" s="63">
        <f>K13+(K13*L13)</f>
        <v>10015.200000000001</v>
      </c>
      <c r="N13" s="64">
        <f>M13/(1+L13)</f>
        <v>9360</v>
      </c>
      <c r="O13" s="29"/>
    </row>
    <row r="14" spans="1:15" ht="13.5" thickBot="1" x14ac:dyDescent="0.25">
      <c r="A14" s="24" t="s">
        <v>17</v>
      </c>
      <c r="B14" s="25">
        <v>1842</v>
      </c>
      <c r="C14" s="25">
        <v>1561</v>
      </c>
      <c r="D14" s="25">
        <v>1279</v>
      </c>
      <c r="E14" s="8"/>
      <c r="F14" s="8"/>
      <c r="G14" s="8"/>
      <c r="H14" s="37" t="s">
        <v>15</v>
      </c>
      <c r="I14" s="38"/>
      <c r="J14" s="38"/>
      <c r="K14" s="65"/>
      <c r="L14" s="66"/>
      <c r="M14" s="67">
        <f>SUM(M9:M13)</f>
        <v>167820.51199999999</v>
      </c>
      <c r="N14" s="68">
        <f>SUM(N9:N13)</f>
        <v>156841.60000000001</v>
      </c>
    </row>
    <row r="15" spans="1:15" x14ac:dyDescent="0.2">
      <c r="A15" s="24" t="s">
        <v>18</v>
      </c>
      <c r="B15" s="25"/>
      <c r="C15" s="25"/>
      <c r="D15" s="25"/>
      <c r="E15" s="8"/>
      <c r="F15" s="8"/>
      <c r="G15" s="8"/>
      <c r="H15" s="9"/>
      <c r="I15" s="8"/>
      <c r="J15" s="10"/>
      <c r="K15" s="8"/>
      <c r="L15" s="8"/>
      <c r="M15" s="8"/>
      <c r="N15" s="8"/>
    </row>
    <row r="16" spans="1:15" ht="15.75" x14ac:dyDescent="0.25">
      <c r="A16" s="40" t="s">
        <v>19</v>
      </c>
      <c r="B16" s="70">
        <f>-SUM(B12:B15)+B11</f>
        <v>-4129.9999999999927</v>
      </c>
      <c r="C16" s="70">
        <f>-SUM(C12:C15)+C11</f>
        <v>48468.656900000002</v>
      </c>
      <c r="D16" s="70">
        <f>-SUM(D12:D15)+D11</f>
        <v>75812.318195000014</v>
      </c>
      <c r="E16" s="41"/>
      <c r="F16" s="41"/>
      <c r="G16" s="8"/>
      <c r="H16" s="9"/>
      <c r="I16" s="8"/>
      <c r="J16" s="10"/>
      <c r="K16" s="8"/>
      <c r="L16" s="8"/>
      <c r="M16" s="8"/>
      <c r="N16" s="8"/>
    </row>
    <row r="17" spans="1:14" s="32" customFormat="1" x14ac:dyDescent="0.2">
      <c r="A17" s="42" t="s">
        <v>20</v>
      </c>
      <c r="B17" s="71">
        <f>B16/12</f>
        <v>-344.16666666666606</v>
      </c>
      <c r="C17" s="71">
        <f>C16/12</f>
        <v>4039.0547416666668</v>
      </c>
      <c r="D17" s="71">
        <f>D16/12</f>
        <v>6317.6931829166679</v>
      </c>
      <c r="E17" s="41"/>
      <c r="F17" s="41"/>
      <c r="G17" s="12"/>
      <c r="H17" s="43"/>
      <c r="I17" s="12"/>
      <c r="J17" s="44"/>
      <c r="K17" s="12"/>
      <c r="L17" s="12"/>
      <c r="M17" s="12"/>
      <c r="N17" s="12"/>
    </row>
    <row r="18" spans="1:14" x14ac:dyDescent="0.2">
      <c r="A18" s="24" t="s">
        <v>16</v>
      </c>
      <c r="B18" s="72">
        <f>+B19*0.5</f>
        <v>5700</v>
      </c>
      <c r="C18" s="72">
        <f>+C19*0.5</f>
        <v>9000</v>
      </c>
      <c r="D18" s="72">
        <f>+D19*0.5</f>
        <v>12500</v>
      </c>
      <c r="E18" s="12"/>
      <c r="F18" s="12"/>
      <c r="G18" s="8"/>
      <c r="H18" s="9"/>
      <c r="I18" s="8"/>
      <c r="J18" s="10"/>
      <c r="K18" s="8"/>
      <c r="L18" s="8"/>
      <c r="M18" s="8"/>
      <c r="N18" s="8"/>
    </row>
    <row r="19" spans="1:14" ht="30.75" customHeight="1" x14ac:dyDescent="0.2">
      <c r="A19" s="45" t="s">
        <v>21</v>
      </c>
      <c r="B19" s="72">
        <v>11400</v>
      </c>
      <c r="C19" s="72">
        <v>18000</v>
      </c>
      <c r="D19" s="72">
        <v>25000</v>
      </c>
      <c r="E19" s="8"/>
      <c r="F19" s="8"/>
      <c r="G19" s="8"/>
      <c r="H19" s="9"/>
      <c r="I19" s="9"/>
      <c r="J19" s="9"/>
      <c r="K19" s="8"/>
      <c r="L19" s="8"/>
      <c r="M19" s="8"/>
      <c r="N19" s="8"/>
    </row>
    <row r="20" spans="1:14" ht="15.75" x14ac:dyDescent="0.25">
      <c r="A20" s="40" t="s">
        <v>22</v>
      </c>
      <c r="B20" s="73">
        <f>B19/12</f>
        <v>950</v>
      </c>
      <c r="C20" s="73">
        <f>C19/12</f>
        <v>1500</v>
      </c>
      <c r="D20" s="74">
        <f>D19/12</f>
        <v>2083.3333333333335</v>
      </c>
      <c r="E20" s="8"/>
      <c r="F20" s="8"/>
      <c r="G20" s="8"/>
      <c r="H20" s="9"/>
      <c r="I20" s="8"/>
      <c r="J20" s="10"/>
      <c r="K20" s="8"/>
      <c r="L20" s="8"/>
      <c r="M20" s="8"/>
      <c r="N20" s="8"/>
    </row>
    <row r="21" spans="1:14" ht="21" thickBot="1" x14ac:dyDescent="0.35">
      <c r="A21" s="46" t="s">
        <v>64</v>
      </c>
      <c r="B21" s="75">
        <f>+B11-B12-B13-B14-B19-B18</f>
        <v>-21229.999999999993</v>
      </c>
      <c r="C21" s="75">
        <f>+C11-C12-C13-C14-C19-C18</f>
        <v>21468.656900000002</v>
      </c>
      <c r="D21" s="75">
        <f>+D11-D12-D13-D14-D19-D18</f>
        <v>38312.318195000014</v>
      </c>
      <c r="E21" s="8"/>
      <c r="F21" s="8"/>
      <c r="G21" s="8"/>
      <c r="H21" s="9"/>
      <c r="I21" s="8"/>
      <c r="J21" s="10"/>
      <c r="K21" s="8"/>
      <c r="L21" s="8"/>
      <c r="M21" s="8"/>
      <c r="N21" s="8"/>
    </row>
    <row r="22" spans="1:14" ht="24.75" customHeight="1" thickBot="1" x14ac:dyDescent="0.3">
      <c r="A22" s="47" t="s">
        <v>65</v>
      </c>
      <c r="B22" s="75"/>
      <c r="C22" s="75">
        <f>+B21+C21</f>
        <v>238.65690000000905</v>
      </c>
      <c r="D22" s="75">
        <f>+C22+D21</f>
        <v>38550.975095000023</v>
      </c>
      <c r="E22" s="8"/>
      <c r="F22" s="8"/>
      <c r="G22" s="8"/>
      <c r="H22" s="9"/>
      <c r="I22" s="8"/>
      <c r="J22" s="10"/>
      <c r="K22" s="10"/>
      <c r="L22" s="10"/>
      <c r="M22" s="8"/>
      <c r="N22" s="8"/>
    </row>
    <row r="23" spans="1:14" ht="13.5" thickBot="1" x14ac:dyDescent="0.25">
      <c r="A23" s="47"/>
      <c r="B23" s="76"/>
      <c r="C23" s="76"/>
      <c r="D23" s="77"/>
      <c r="E23" s="8"/>
      <c r="F23" s="8"/>
      <c r="G23" s="8"/>
      <c r="H23" s="9"/>
      <c r="I23" s="8"/>
      <c r="J23" s="10"/>
      <c r="K23" s="10"/>
      <c r="L23" s="10"/>
      <c r="M23" s="8"/>
      <c r="N23" s="8"/>
    </row>
    <row r="24" spans="1:14" x14ac:dyDescent="0.2">
      <c r="A24" s="12" t="s">
        <v>23</v>
      </c>
      <c r="B24" s="78"/>
      <c r="C24" s="78"/>
      <c r="D24" s="78"/>
      <c r="E24" s="8"/>
      <c r="F24" s="8"/>
      <c r="G24" s="8"/>
      <c r="H24" s="9"/>
      <c r="I24" s="8"/>
      <c r="J24" s="10"/>
      <c r="K24" s="10"/>
      <c r="L24" s="10"/>
      <c r="M24" s="8"/>
      <c r="N24" s="8"/>
    </row>
    <row r="25" spans="1:14" x14ac:dyDescent="0.2">
      <c r="A25" s="12"/>
      <c r="B25" s="79" t="s">
        <v>1</v>
      </c>
      <c r="C25" s="80" t="s">
        <v>2</v>
      </c>
      <c r="D25" s="81" t="s">
        <v>3</v>
      </c>
      <c r="E25" s="8"/>
      <c r="F25" s="8"/>
      <c r="G25" s="8"/>
      <c r="H25" s="9"/>
      <c r="I25" s="8"/>
      <c r="J25" s="10"/>
      <c r="K25" s="10"/>
      <c r="L25" s="10"/>
      <c r="M25" s="8"/>
      <c r="N25" s="8"/>
    </row>
    <row r="26" spans="1:14" x14ac:dyDescent="0.2">
      <c r="A26" s="8"/>
      <c r="B26" s="82" t="s">
        <v>4</v>
      </c>
      <c r="C26" s="83" t="s">
        <v>4</v>
      </c>
      <c r="D26" s="83" t="s">
        <v>4</v>
      </c>
      <c r="E26" s="8"/>
      <c r="F26" s="8"/>
      <c r="G26" s="52"/>
      <c r="H26" s="53"/>
      <c r="I26" s="8"/>
      <c r="J26" s="10"/>
      <c r="K26" s="8"/>
      <c r="L26" s="9"/>
      <c r="M26" s="8"/>
      <c r="N26" s="10"/>
    </row>
    <row r="27" spans="1:14" x14ac:dyDescent="0.2">
      <c r="A27" s="54" t="s">
        <v>24</v>
      </c>
      <c r="B27" s="55">
        <v>240</v>
      </c>
      <c r="C27" s="55">
        <v>252</v>
      </c>
      <c r="D27" s="55">
        <v>265</v>
      </c>
      <c r="E27" s="8"/>
      <c r="F27" s="8"/>
      <c r="G27" s="8"/>
      <c r="H27" s="9"/>
      <c r="I27" s="8"/>
      <c r="J27" s="10"/>
      <c r="K27" s="8"/>
      <c r="L27" s="9"/>
      <c r="M27" s="8"/>
      <c r="N27" s="10"/>
    </row>
    <row r="28" spans="1:14" x14ac:dyDescent="0.2">
      <c r="A28" s="24" t="s">
        <v>25</v>
      </c>
      <c r="B28" s="56">
        <v>50</v>
      </c>
      <c r="C28" s="56">
        <v>102</v>
      </c>
      <c r="D28" s="56">
        <v>100</v>
      </c>
      <c r="E28" s="8"/>
      <c r="F28" s="8"/>
      <c r="G28" s="8"/>
      <c r="H28" s="9"/>
      <c r="I28" s="8"/>
      <c r="J28" s="10"/>
      <c r="K28" s="8"/>
      <c r="L28" s="8"/>
      <c r="M28" s="8"/>
      <c r="N28" s="8"/>
    </row>
    <row r="29" spans="1:14" x14ac:dyDescent="0.2">
      <c r="A29" s="24" t="s">
        <v>26</v>
      </c>
      <c r="B29" s="56">
        <v>500</v>
      </c>
      <c r="C29" s="56">
        <v>525</v>
      </c>
      <c r="D29" s="56">
        <v>551</v>
      </c>
      <c r="E29" s="8"/>
      <c r="F29" s="8"/>
      <c r="G29" s="8"/>
      <c r="H29" s="9"/>
      <c r="I29" s="8"/>
      <c r="J29" s="10"/>
      <c r="K29" s="8"/>
      <c r="L29" s="8"/>
      <c r="M29" s="8"/>
      <c r="N29" s="8"/>
    </row>
    <row r="30" spans="1:14" x14ac:dyDescent="0.2">
      <c r="A30" s="24" t="s">
        <v>27</v>
      </c>
      <c r="B30" s="56">
        <f>+B8*0.25%</f>
        <v>392.10400000000004</v>
      </c>
      <c r="C30" s="56">
        <f>+C8*0.25%</f>
        <v>834.04441840000004</v>
      </c>
      <c r="D30" s="56">
        <f>+D8*0.25%</f>
        <v>1292.7688485200001</v>
      </c>
      <c r="E30" s="8"/>
      <c r="F30" s="8"/>
      <c r="G30" s="8"/>
      <c r="H30" s="9"/>
      <c r="I30" s="8"/>
      <c r="J30" s="10"/>
      <c r="K30" s="8"/>
      <c r="L30" s="8"/>
      <c r="M30" s="8"/>
      <c r="N30" s="8"/>
    </row>
    <row r="31" spans="1:14" x14ac:dyDescent="0.2">
      <c r="A31" s="24" t="s">
        <v>28</v>
      </c>
      <c r="B31" s="56">
        <v>2500</v>
      </c>
      <c r="C31" s="56">
        <v>2500</v>
      </c>
      <c r="D31" s="56">
        <v>2500</v>
      </c>
      <c r="E31" s="8"/>
      <c r="F31" s="8"/>
      <c r="G31" s="8"/>
      <c r="H31" s="9"/>
      <c r="I31" s="8"/>
      <c r="J31" s="10"/>
      <c r="K31" s="8"/>
      <c r="L31" s="8"/>
      <c r="M31" s="8"/>
      <c r="N31" s="8"/>
    </row>
    <row r="32" spans="1:14" x14ac:dyDescent="0.2">
      <c r="A32" s="24" t="s">
        <v>29</v>
      </c>
      <c r="B32" s="56"/>
      <c r="C32" s="56"/>
      <c r="D32" s="56"/>
      <c r="E32" s="8"/>
      <c r="F32" s="8"/>
      <c r="G32" s="8"/>
      <c r="H32" s="9"/>
      <c r="I32" s="8"/>
      <c r="J32" s="10"/>
      <c r="K32" s="8"/>
      <c r="L32" s="8"/>
      <c r="M32" s="8"/>
      <c r="N32" s="8"/>
    </row>
    <row r="33" spans="1:14" x14ac:dyDescent="0.2">
      <c r="A33" s="24" t="s">
        <v>30</v>
      </c>
      <c r="B33" s="56">
        <v>6900</v>
      </c>
      <c r="C33" s="56">
        <v>6900</v>
      </c>
      <c r="D33" s="56">
        <v>6900</v>
      </c>
      <c r="E33" s="8"/>
      <c r="F33" s="8"/>
      <c r="G33" s="8"/>
      <c r="H33" s="9"/>
      <c r="I33" s="8"/>
      <c r="J33" s="10"/>
      <c r="K33" s="8"/>
      <c r="L33" s="8"/>
      <c r="M33" s="8"/>
      <c r="N33" s="8"/>
    </row>
    <row r="34" spans="1:14" x14ac:dyDescent="0.2">
      <c r="A34" s="57" t="s">
        <v>52</v>
      </c>
      <c r="B34" s="56">
        <v>7767</v>
      </c>
      <c r="C34" s="56">
        <v>14600</v>
      </c>
      <c r="D34" s="56">
        <v>14600</v>
      </c>
      <c r="E34" s="8"/>
      <c r="F34" s="8"/>
      <c r="G34" s="8"/>
      <c r="H34" s="9"/>
      <c r="I34" s="8"/>
      <c r="J34" s="10"/>
      <c r="K34" s="8"/>
      <c r="L34" s="8"/>
      <c r="M34" s="8"/>
      <c r="N34" s="8"/>
    </row>
    <row r="35" spans="1:14" x14ac:dyDescent="0.2">
      <c r="A35" s="24" t="s">
        <v>31</v>
      </c>
      <c r="B35" s="56">
        <v>5000</v>
      </c>
      <c r="C35" s="56">
        <v>3000</v>
      </c>
      <c r="D35" s="56">
        <v>2000</v>
      </c>
      <c r="E35" s="8"/>
      <c r="F35" s="8"/>
      <c r="G35" s="8"/>
      <c r="H35" s="9"/>
      <c r="I35" s="8"/>
      <c r="J35" s="10"/>
      <c r="K35" s="8"/>
      <c r="L35" s="8"/>
      <c r="M35" s="8"/>
      <c r="N35" s="8"/>
    </row>
    <row r="36" spans="1:14" x14ac:dyDescent="0.2">
      <c r="A36" s="24" t="s">
        <v>32</v>
      </c>
      <c r="B36" s="56">
        <v>950</v>
      </c>
      <c r="C36" s="56">
        <v>1938</v>
      </c>
      <c r="D36" s="56">
        <v>2500</v>
      </c>
      <c r="E36" s="8"/>
      <c r="F36" s="8"/>
      <c r="G36" s="8"/>
      <c r="H36" s="9"/>
      <c r="I36" s="8"/>
      <c r="J36" s="10"/>
      <c r="K36" s="8"/>
      <c r="L36" s="8"/>
      <c r="M36" s="8"/>
      <c r="N36" s="8"/>
    </row>
    <row r="37" spans="1:14" x14ac:dyDescent="0.2">
      <c r="A37" s="57" t="s">
        <v>46</v>
      </c>
      <c r="B37" s="56">
        <v>4050</v>
      </c>
      <c r="C37" s="56">
        <v>7500</v>
      </c>
      <c r="D37" s="56">
        <v>7800</v>
      </c>
      <c r="E37" s="8"/>
      <c r="F37" s="8"/>
      <c r="G37" s="8"/>
      <c r="H37" s="9"/>
      <c r="I37" s="8"/>
      <c r="J37" s="10"/>
      <c r="K37" s="8"/>
      <c r="L37" s="8"/>
      <c r="M37" s="8"/>
      <c r="N37" s="8"/>
    </row>
    <row r="38" spans="1:14" x14ac:dyDescent="0.2">
      <c r="A38" s="57" t="s">
        <v>49</v>
      </c>
      <c r="B38" s="56">
        <v>2070</v>
      </c>
      <c r="C38" s="56">
        <v>4500</v>
      </c>
      <c r="D38" s="56">
        <v>5800</v>
      </c>
      <c r="E38" s="8"/>
      <c r="F38" s="8"/>
      <c r="G38" s="8"/>
      <c r="H38" s="9"/>
      <c r="I38" s="8"/>
      <c r="J38" s="10"/>
      <c r="K38" s="8"/>
      <c r="L38" s="8"/>
      <c r="M38" s="8"/>
      <c r="N38" s="8"/>
    </row>
    <row r="39" spans="1:14" x14ac:dyDescent="0.2">
      <c r="A39" s="57" t="s">
        <v>47</v>
      </c>
      <c r="B39" s="56">
        <v>500</v>
      </c>
      <c r="C39" s="56">
        <v>1020</v>
      </c>
      <c r="D39" s="56">
        <v>1581</v>
      </c>
      <c r="E39" s="8"/>
      <c r="F39" s="8"/>
      <c r="G39" s="8"/>
      <c r="H39" s="9"/>
      <c r="I39" s="8"/>
      <c r="J39" s="10"/>
      <c r="K39" s="8"/>
      <c r="L39" s="8"/>
      <c r="M39" s="8"/>
      <c r="N39" s="8"/>
    </row>
    <row r="40" spans="1:14" x14ac:dyDescent="0.2">
      <c r="A40" s="57" t="s">
        <v>48</v>
      </c>
      <c r="B40" s="56">
        <v>2000</v>
      </c>
      <c r="C40" s="56">
        <v>2000</v>
      </c>
      <c r="D40" s="56">
        <v>2000</v>
      </c>
      <c r="E40" s="8"/>
      <c r="F40" s="8"/>
      <c r="G40" s="8"/>
      <c r="H40" s="9"/>
      <c r="I40" s="8"/>
      <c r="J40" s="10"/>
      <c r="K40" s="8"/>
      <c r="L40" s="8"/>
      <c r="M40" s="8"/>
      <c r="N40" s="8"/>
    </row>
    <row r="41" spans="1:14" x14ac:dyDescent="0.2">
      <c r="A41" s="57" t="s">
        <v>51</v>
      </c>
      <c r="B41" s="56">
        <f>+B8*1%</f>
        <v>1568.4160000000002</v>
      </c>
      <c r="C41" s="56">
        <f>+C8*1%</f>
        <v>3336.1776736000002</v>
      </c>
      <c r="D41" s="56">
        <f>+D8*1%</f>
        <v>5171.0753940800005</v>
      </c>
      <c r="E41" s="8"/>
      <c r="F41" s="8"/>
      <c r="G41" s="8"/>
      <c r="H41" s="9"/>
      <c r="I41" s="8"/>
      <c r="J41" s="10"/>
      <c r="K41" s="8"/>
      <c r="L41" s="8"/>
      <c r="M41" s="8"/>
      <c r="N41" s="8"/>
    </row>
    <row r="42" spans="1:14" x14ac:dyDescent="0.2">
      <c r="A42" s="57" t="s">
        <v>50</v>
      </c>
      <c r="B42" s="56">
        <f>+B8*5%</f>
        <v>7842.0800000000008</v>
      </c>
      <c r="C42" s="56">
        <f>+C8*5%</f>
        <v>16680.888368</v>
      </c>
      <c r="D42" s="56">
        <f>+D8*5%</f>
        <v>25855.376970400001</v>
      </c>
      <c r="E42" s="8"/>
      <c r="F42" s="8"/>
      <c r="G42" s="8"/>
      <c r="H42" s="9"/>
      <c r="I42" s="8"/>
      <c r="J42" s="10"/>
      <c r="K42" s="8"/>
      <c r="L42" s="8"/>
      <c r="M42" s="8"/>
      <c r="N42" s="8"/>
    </row>
    <row r="43" spans="1:14" x14ac:dyDescent="0.2">
      <c r="A43" s="24" t="s">
        <v>33</v>
      </c>
      <c r="B43" s="56">
        <v>2000</v>
      </c>
      <c r="C43" s="56">
        <v>2900</v>
      </c>
      <c r="D43" s="56">
        <v>4100</v>
      </c>
      <c r="E43" s="8"/>
      <c r="F43" s="8"/>
      <c r="G43" s="8"/>
      <c r="H43" s="9"/>
      <c r="I43" s="8"/>
      <c r="J43" s="10"/>
      <c r="K43" s="8"/>
      <c r="L43" s="8"/>
      <c r="M43" s="8"/>
      <c r="N43" s="8"/>
    </row>
    <row r="44" spans="1:14" x14ac:dyDescent="0.2">
      <c r="A44" s="24" t="s">
        <v>34</v>
      </c>
      <c r="B44" s="56"/>
      <c r="C44" s="56"/>
      <c r="D44" s="56"/>
      <c r="E44" s="8"/>
      <c r="F44" s="8"/>
      <c r="G44" s="8"/>
      <c r="H44" s="9"/>
      <c r="I44" s="8"/>
      <c r="J44" s="10"/>
      <c r="K44" s="8"/>
      <c r="L44" s="8"/>
      <c r="M44" s="8"/>
      <c r="N44" s="8"/>
    </row>
    <row r="45" spans="1:14" x14ac:dyDescent="0.2">
      <c r="A45" s="58" t="s">
        <v>35</v>
      </c>
      <c r="B45" s="84">
        <f>SUM(B27:B44)</f>
        <v>44329.599999999999</v>
      </c>
      <c r="C45" s="84">
        <f>SUM(C27:C44)</f>
        <v>68588.110459999996</v>
      </c>
      <c r="D45" s="84">
        <f>SUM(D27:D44)</f>
        <v>83016.221212999997</v>
      </c>
      <c r="E45" s="8"/>
      <c r="F45" s="8"/>
      <c r="G45" s="8"/>
      <c r="H45" s="9"/>
      <c r="I45" s="8"/>
      <c r="J45" s="10"/>
      <c r="K45" s="8"/>
      <c r="L45" s="8"/>
      <c r="M45" s="8"/>
      <c r="N45" s="8"/>
    </row>
    <row r="46" spans="1:14" x14ac:dyDescent="0.2">
      <c r="A46" s="8"/>
      <c r="B46" s="41"/>
      <c r="C46" s="8"/>
      <c r="D46" s="8"/>
      <c r="E46" s="8"/>
      <c r="F46" s="8"/>
      <c r="G46" s="8"/>
      <c r="H46" s="9"/>
      <c r="I46" s="8"/>
      <c r="J46" s="10"/>
      <c r="K46" s="8"/>
      <c r="L46" s="8"/>
      <c r="M46" s="8"/>
      <c r="N46" s="8"/>
    </row>
    <row r="47" spans="1:14" x14ac:dyDescent="0.2">
      <c r="A47" s="8"/>
      <c r="B47" s="41"/>
      <c r="C47" s="8"/>
      <c r="D47" s="8"/>
      <c r="E47" s="8"/>
      <c r="F47" s="8"/>
      <c r="G47" s="8"/>
      <c r="H47" s="9"/>
      <c r="I47" s="8"/>
      <c r="J47" s="10"/>
      <c r="K47" s="8"/>
      <c r="L47" s="8"/>
      <c r="M47" s="8"/>
      <c r="N47" s="8"/>
    </row>
    <row r="48" spans="1:14" x14ac:dyDescent="0.2">
      <c r="A48" s="8"/>
      <c r="B48" s="41"/>
      <c r="C48" s="8"/>
      <c r="D48" s="8"/>
      <c r="E48" s="8"/>
      <c r="F48" s="8"/>
      <c r="G48" s="8"/>
      <c r="H48" s="9"/>
      <c r="I48" s="8"/>
      <c r="J48" s="10"/>
      <c r="K48" s="8"/>
      <c r="L48" s="8"/>
      <c r="M48" s="8"/>
      <c r="N48" s="8"/>
    </row>
    <row r="49" spans="1:14" x14ac:dyDescent="0.2">
      <c r="A49" s="8"/>
      <c r="B49" s="41"/>
      <c r="C49" s="8"/>
      <c r="D49" s="8"/>
      <c r="E49" s="8"/>
      <c r="F49" s="8"/>
      <c r="G49" s="8"/>
      <c r="H49" s="9"/>
      <c r="I49" s="8"/>
      <c r="J49" s="10"/>
      <c r="K49" s="8"/>
      <c r="L49" s="8"/>
      <c r="M49" s="8"/>
      <c r="N49" s="8"/>
    </row>
    <row r="50" spans="1:14" x14ac:dyDescent="0.2">
      <c r="A50" s="8"/>
      <c r="B50" s="41"/>
      <c r="C50" s="8"/>
      <c r="D50" s="8"/>
      <c r="E50" s="8"/>
      <c r="F50" s="8"/>
      <c r="G50" s="8"/>
      <c r="H50" s="9"/>
      <c r="I50" s="8"/>
      <c r="J50" s="10"/>
      <c r="K50" s="8"/>
      <c r="L50" s="8"/>
      <c r="M50" s="8"/>
      <c r="N50" s="8"/>
    </row>
    <row r="51" spans="1:14" x14ac:dyDescent="0.2">
      <c r="A51" s="8"/>
      <c r="B51" s="41"/>
      <c r="C51" s="8"/>
      <c r="D51" s="8"/>
      <c r="E51" s="8"/>
      <c r="F51" s="8"/>
      <c r="G51" s="8"/>
      <c r="H51" s="9"/>
      <c r="I51" s="8"/>
      <c r="J51" s="10"/>
      <c r="K51" s="8"/>
      <c r="L51" s="8"/>
      <c r="M51" s="8"/>
      <c r="N51" s="8"/>
    </row>
    <row r="52" spans="1:14" x14ac:dyDescent="0.2">
      <c r="A52" s="8"/>
      <c r="B52" s="41"/>
      <c r="C52" s="8"/>
      <c r="D52" s="8"/>
      <c r="E52" s="8"/>
      <c r="F52" s="8"/>
      <c r="G52" s="8"/>
      <c r="H52" s="9"/>
      <c r="I52" s="8"/>
      <c r="J52" s="10"/>
      <c r="K52" s="8"/>
      <c r="L52" s="8"/>
      <c r="M52" s="8"/>
      <c r="N52" s="8"/>
    </row>
    <row r="53" spans="1:14" x14ac:dyDescent="0.2">
      <c r="A53" s="8"/>
      <c r="B53" s="41"/>
      <c r="C53" s="8"/>
      <c r="D53" s="8"/>
      <c r="E53" s="8"/>
      <c r="F53" s="8"/>
      <c r="G53" s="8"/>
      <c r="H53" s="9"/>
      <c r="I53" s="8"/>
      <c r="J53" s="10"/>
      <c r="K53" s="8"/>
      <c r="L53" s="8"/>
      <c r="M53" s="8"/>
      <c r="N53" s="8"/>
    </row>
    <row r="54" spans="1:14" x14ac:dyDescent="0.2">
      <c r="A54" s="8"/>
      <c r="B54" s="41"/>
      <c r="C54" s="8"/>
      <c r="D54" s="8"/>
      <c r="E54" s="8"/>
      <c r="F54" s="8"/>
      <c r="G54" s="8"/>
      <c r="H54" s="9"/>
      <c r="I54" s="8"/>
      <c r="J54" s="10"/>
      <c r="K54" s="8"/>
      <c r="L54" s="8"/>
      <c r="M54" s="8"/>
      <c r="N54" s="8"/>
    </row>
    <row r="55" spans="1:14" x14ac:dyDescent="0.2">
      <c r="A55" s="8"/>
      <c r="B55" s="41"/>
      <c r="C55" s="8"/>
      <c r="D55" s="8"/>
      <c r="E55" s="8"/>
      <c r="F55" s="8"/>
      <c r="G55" s="8"/>
      <c r="H55" s="9"/>
      <c r="I55" s="8"/>
      <c r="J55" s="10"/>
      <c r="K55" s="8"/>
      <c r="L55" s="8"/>
      <c r="M55" s="8"/>
      <c r="N55" s="8"/>
    </row>
    <row r="56" spans="1:14" x14ac:dyDescent="0.2">
      <c r="A56" s="8"/>
      <c r="B56" s="41"/>
      <c r="C56" s="8"/>
      <c r="D56" s="8"/>
      <c r="E56" s="8"/>
      <c r="F56" s="8"/>
      <c r="G56" s="8"/>
      <c r="H56" s="9"/>
      <c r="I56" s="8"/>
      <c r="J56" s="10"/>
      <c r="K56" s="8"/>
      <c r="L56" s="8"/>
      <c r="M56" s="8"/>
      <c r="N56" s="8"/>
    </row>
    <row r="57" spans="1:14" x14ac:dyDescent="0.2">
      <c r="A57" s="8"/>
      <c r="B57" s="41"/>
      <c r="C57" s="8"/>
      <c r="D57" s="8"/>
      <c r="E57" s="8"/>
      <c r="F57" s="8"/>
      <c r="G57" s="8"/>
      <c r="H57" s="9"/>
      <c r="I57" s="8"/>
      <c r="J57" s="10"/>
      <c r="K57" s="8"/>
      <c r="L57" s="8"/>
      <c r="M57" s="8"/>
      <c r="N57" s="8"/>
    </row>
    <row r="58" spans="1:14" x14ac:dyDescent="0.2">
      <c r="A58" s="8"/>
      <c r="B58" s="41"/>
      <c r="C58" s="8"/>
      <c r="D58" s="8"/>
      <c r="E58" s="8"/>
      <c r="F58" s="8"/>
      <c r="G58" s="8"/>
      <c r="H58" s="9"/>
      <c r="I58" s="8"/>
      <c r="J58" s="10"/>
      <c r="K58" s="8"/>
      <c r="L58" s="8"/>
      <c r="M58" s="8"/>
      <c r="N58" s="8"/>
    </row>
    <row r="59" spans="1:14" x14ac:dyDescent="0.2">
      <c r="A59" s="8"/>
      <c r="B59" s="41"/>
      <c r="C59" s="8"/>
      <c r="D59" s="8"/>
      <c r="E59" s="8"/>
      <c r="F59" s="8"/>
      <c r="G59" s="8"/>
      <c r="H59" s="9"/>
      <c r="I59" s="8"/>
      <c r="J59" s="10"/>
      <c r="K59" s="8"/>
      <c r="L59" s="8"/>
      <c r="M59" s="8"/>
      <c r="N59" s="8"/>
    </row>
    <row r="60" spans="1:14" x14ac:dyDescent="0.2">
      <c r="A60" s="8"/>
      <c r="B60" s="41"/>
      <c r="C60" s="8"/>
      <c r="D60" s="8"/>
      <c r="E60" s="8"/>
      <c r="F60" s="8"/>
      <c r="G60" s="8"/>
      <c r="H60" s="9"/>
      <c r="I60" s="8"/>
      <c r="J60" s="10"/>
      <c r="K60" s="8"/>
      <c r="L60" s="8"/>
      <c r="M60" s="8"/>
      <c r="N60" s="8"/>
    </row>
    <row r="61" spans="1:14" x14ac:dyDescent="0.2">
      <c r="A61" s="8"/>
      <c r="B61" s="41"/>
      <c r="C61" s="8"/>
      <c r="D61" s="8"/>
      <c r="E61" s="8"/>
      <c r="F61" s="8"/>
      <c r="G61" s="8"/>
      <c r="H61" s="9"/>
      <c r="I61" s="8"/>
      <c r="J61" s="10"/>
      <c r="K61" s="8"/>
      <c r="L61" s="8"/>
      <c r="M61" s="8"/>
      <c r="N61" s="8"/>
    </row>
    <row r="62" spans="1:14" x14ac:dyDescent="0.2">
      <c r="A62" s="8"/>
      <c r="B62" s="41"/>
      <c r="C62" s="8"/>
      <c r="D62" s="8"/>
      <c r="E62" s="8"/>
      <c r="F62" s="8"/>
      <c r="G62" s="8"/>
      <c r="H62" s="9"/>
      <c r="I62" s="8"/>
      <c r="J62" s="10"/>
      <c r="K62" s="8"/>
      <c r="L62" s="8"/>
      <c r="M62" s="8"/>
      <c r="N62" s="8"/>
    </row>
    <row r="63" spans="1:14" x14ac:dyDescent="0.2">
      <c r="E63" s="8"/>
      <c r="F63" s="8"/>
      <c r="G63" s="8"/>
      <c r="H63" s="9"/>
      <c r="I63" s="8"/>
      <c r="J63" s="10"/>
      <c r="K63" s="8"/>
      <c r="L63" s="8"/>
      <c r="M63" s="8"/>
      <c r="N63" s="8"/>
    </row>
    <row r="64" spans="1:14" x14ac:dyDescent="0.2">
      <c r="E64" s="8"/>
      <c r="F64" s="8"/>
    </row>
  </sheetData>
  <sheetProtection sheet="1"/>
  <mergeCells count="5">
    <mergeCell ref="H7:N7"/>
    <mergeCell ref="E6:F6"/>
    <mergeCell ref="E7:F7"/>
    <mergeCell ref="A1:N1"/>
    <mergeCell ref="A2:N2"/>
  </mergeCells>
  <phoneticPr fontId="2" type="noConversion"/>
  <conditionalFormatting sqref="B21:D21">
    <cfRule type="cellIs" dxfId="41" priority="4" stopIfTrue="1" operator="lessThan">
      <formula>0</formula>
    </cfRule>
    <cfRule type="cellIs" dxfId="40" priority="5" stopIfTrue="1" operator="lessThan">
      <formula>0</formula>
    </cfRule>
    <cfRule type="cellIs" dxfId="39" priority="6" stopIfTrue="1" operator="lessThan">
      <formula>0</formula>
    </cfRule>
  </conditionalFormatting>
  <conditionalFormatting sqref="B22:D22">
    <cfRule type="cellIs" dxfId="38" priority="1" stopIfTrue="1" operator="lessThan">
      <formula>0</formula>
    </cfRule>
    <cfRule type="cellIs" dxfId="37" priority="2" stopIfTrue="1" operator="lessThan">
      <formula>0</formula>
    </cfRule>
    <cfRule type="cellIs" dxfId="36" priority="3" stopIfTrue="1" operator="lessThan">
      <formula>0</formula>
    </cfRule>
  </conditionalFormatting>
  <pageMargins left="0.39370078740157483" right="0.39370078740157483" top="0.39370078740157483" bottom="0.39370078740157483" header="0.51181102362204722" footer="0.51181102362204722"/>
  <pageSetup paperSize="9" scale="70" orientation="landscape"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O50"/>
  <sheetViews>
    <sheetView topLeftCell="A4" zoomScale="75" zoomScaleNormal="75" zoomScalePageLayoutView="75" workbookViewId="0">
      <selection activeCell="F24" sqref="F24"/>
    </sheetView>
  </sheetViews>
  <sheetFormatPr baseColWidth="10" defaultColWidth="11.42578125" defaultRowHeight="12.75" x14ac:dyDescent="0.2"/>
  <cols>
    <col min="1" max="1" width="38.7109375" style="5" customWidth="1"/>
    <col min="2" max="4" width="12.7109375" style="5" customWidth="1"/>
    <col min="5" max="7" width="7.7109375" style="5" customWidth="1"/>
    <col min="8" max="8" width="18.42578125" style="5" customWidth="1"/>
    <col min="9" max="9" width="11.42578125" style="5"/>
    <col min="10" max="10" width="22" style="5" customWidth="1"/>
    <col min="11" max="12" width="11.42578125" style="5"/>
    <col min="13" max="13" width="15.42578125" style="5" customWidth="1"/>
    <col min="14" max="14" width="17" style="5" customWidth="1"/>
    <col min="15" max="16384" width="11.42578125" style="5"/>
  </cols>
  <sheetData>
    <row r="1" spans="1:15" ht="25.5" customHeight="1" x14ac:dyDescent="0.2">
      <c r="A1" s="160" t="s">
        <v>75</v>
      </c>
      <c r="B1" s="160"/>
      <c r="C1" s="160"/>
      <c r="D1" s="160"/>
      <c r="E1" s="160"/>
      <c r="F1" s="160"/>
      <c r="G1" s="160"/>
      <c r="H1" s="160"/>
      <c r="I1" s="160"/>
      <c r="J1" s="160"/>
      <c r="K1" s="160"/>
      <c r="L1" s="160"/>
      <c r="M1" s="160"/>
      <c r="N1" s="160"/>
    </row>
    <row r="2" spans="1:15" s="86" customFormat="1" ht="15.75" x14ac:dyDescent="0.25">
      <c r="A2" s="164" t="s">
        <v>99</v>
      </c>
      <c r="B2" s="164"/>
      <c r="C2" s="164"/>
      <c r="D2" s="164"/>
      <c r="E2" s="164"/>
      <c r="F2" s="164"/>
      <c r="G2" s="164"/>
      <c r="H2" s="164"/>
      <c r="I2" s="164"/>
      <c r="J2" s="164"/>
      <c r="K2" s="164"/>
      <c r="L2" s="164"/>
      <c r="M2" s="164"/>
      <c r="N2" s="164"/>
    </row>
    <row r="3" spans="1:15" s="86" customFormat="1" ht="15" x14ac:dyDescent="0.2">
      <c r="A3" s="164" t="s">
        <v>82</v>
      </c>
      <c r="B3" s="164"/>
      <c r="C3" s="164"/>
      <c r="D3" s="164"/>
      <c r="E3" s="164"/>
      <c r="F3" s="164"/>
      <c r="G3" s="164"/>
      <c r="H3" s="164"/>
      <c r="I3" s="164"/>
      <c r="J3" s="164"/>
      <c r="K3" s="164"/>
      <c r="L3" s="164"/>
      <c r="M3" s="164"/>
      <c r="N3" s="164"/>
    </row>
    <row r="4" spans="1:15" s="86" customFormat="1" ht="15" x14ac:dyDescent="0.2">
      <c r="A4" s="87"/>
      <c r="B4" s="87"/>
      <c r="C4" s="87"/>
      <c r="D4" s="87"/>
      <c r="E4" s="87"/>
      <c r="F4" s="87"/>
      <c r="G4" s="87"/>
      <c r="H4" s="87"/>
      <c r="I4" s="87"/>
      <c r="J4" s="87"/>
      <c r="K4" s="87"/>
      <c r="L4" s="87"/>
      <c r="M4" s="87"/>
      <c r="N4" s="87"/>
    </row>
    <row r="5" spans="1:15" x14ac:dyDescent="0.2">
      <c r="A5" s="12"/>
      <c r="B5" s="8"/>
      <c r="C5" s="8"/>
      <c r="D5" s="8"/>
      <c r="E5" s="8" t="s">
        <v>0</v>
      </c>
      <c r="F5" s="8"/>
      <c r="G5" s="11">
        <v>0.35</v>
      </c>
    </row>
    <row r="6" spans="1:15" ht="14.25" x14ac:dyDescent="0.2">
      <c r="A6" s="7"/>
      <c r="B6" s="7"/>
      <c r="C6" s="7"/>
      <c r="D6" s="7"/>
      <c r="E6" s="7"/>
      <c r="F6" s="8"/>
      <c r="G6" s="8"/>
    </row>
    <row r="7" spans="1:15" ht="13.5" thickBot="1" x14ac:dyDescent="0.25">
      <c r="A7" s="12"/>
      <c r="B7" s="13" t="s">
        <v>1</v>
      </c>
      <c r="C7" s="13" t="s">
        <v>2</v>
      </c>
      <c r="D7" s="14" t="s">
        <v>3</v>
      </c>
      <c r="E7" s="8"/>
      <c r="F7" s="8"/>
      <c r="G7" s="8"/>
    </row>
    <row r="8" spans="1:15" x14ac:dyDescent="0.2">
      <c r="A8" s="8"/>
      <c r="B8" s="15" t="s">
        <v>4</v>
      </c>
      <c r="C8" s="15" t="s">
        <v>4</v>
      </c>
      <c r="D8" s="15" t="s">
        <v>4</v>
      </c>
      <c r="E8" s="8"/>
      <c r="F8" s="8"/>
      <c r="G8" s="8"/>
      <c r="H8" s="153" t="s">
        <v>5</v>
      </c>
      <c r="I8" s="162"/>
      <c r="J8" s="162"/>
      <c r="K8" s="162"/>
      <c r="L8" s="162"/>
      <c r="M8" s="162"/>
      <c r="N8" s="163"/>
    </row>
    <row r="9" spans="1:15" ht="26.25" x14ac:dyDescent="0.25">
      <c r="A9" s="16" t="s">
        <v>6</v>
      </c>
      <c r="B9" s="96">
        <f>N15</f>
        <v>141157.44</v>
      </c>
      <c r="C9" s="96">
        <f>B9*2.1271</f>
        <v>300255.99062400003</v>
      </c>
      <c r="D9" s="96">
        <f>C9*1.55</f>
        <v>465396.78546720004</v>
      </c>
      <c r="E9" s="19">
        <f>C9/B9</f>
        <v>2.1271</v>
      </c>
      <c r="F9" s="19">
        <f>D9/C9</f>
        <v>1.55</v>
      </c>
      <c r="G9" s="19"/>
      <c r="H9" s="20" t="s">
        <v>36</v>
      </c>
      <c r="I9" s="21" t="s">
        <v>42</v>
      </c>
      <c r="J9" s="21" t="s">
        <v>45</v>
      </c>
      <c r="K9" s="22" t="s">
        <v>38</v>
      </c>
      <c r="L9" s="22" t="s">
        <v>40</v>
      </c>
      <c r="M9" s="15" t="s">
        <v>7</v>
      </c>
      <c r="N9" s="23" t="s">
        <v>8</v>
      </c>
    </row>
    <row r="10" spans="1:15" ht="25.5" x14ac:dyDescent="0.2">
      <c r="A10" s="24" t="s">
        <v>10</v>
      </c>
      <c r="B10" s="89">
        <f>'2-CR équilibre'!B9</f>
        <v>18000</v>
      </c>
      <c r="C10" s="89">
        <f>'2-CR équilibre'!C9</f>
        <v>22000</v>
      </c>
      <c r="D10" s="89">
        <f>'2-CR équilibre'!D9</f>
        <v>42000</v>
      </c>
      <c r="E10" s="19">
        <f>C10/B10</f>
        <v>1.2222222222222223</v>
      </c>
      <c r="F10" s="19">
        <f>D10/C10</f>
        <v>1.9090909090909092</v>
      </c>
      <c r="G10" s="19"/>
      <c r="H10" s="26" t="s">
        <v>37</v>
      </c>
      <c r="I10" s="89">
        <f>'2-CR équilibre'!I9</f>
        <v>21</v>
      </c>
      <c r="J10" s="96">
        <f>'2-CR équilibre'!J9-('2-CR équilibre'!J9*10%)</f>
        <v>1872</v>
      </c>
      <c r="K10" s="61">
        <f>(J10*I10)</f>
        <v>39312</v>
      </c>
      <c r="L10" s="97">
        <f>'2-CR équilibre'!L9</f>
        <v>7.0000000000000007E-2</v>
      </c>
      <c r="M10" s="61">
        <f>K10+(K10*L10)</f>
        <v>42063.839999999997</v>
      </c>
      <c r="N10" s="96">
        <f t="shared" ref="N10:N15" si="0">M10/1.07</f>
        <v>39311.999999999993</v>
      </c>
      <c r="O10" s="29"/>
    </row>
    <row r="11" spans="1:15" s="32" customFormat="1" x14ac:dyDescent="0.2">
      <c r="A11" s="24" t="s">
        <v>14</v>
      </c>
      <c r="B11" s="90">
        <f>93800*0.9</f>
        <v>84420</v>
      </c>
      <c r="C11" s="90">
        <f>189000*0.9</f>
        <v>170100</v>
      </c>
      <c r="D11" s="90">
        <f>310000*0.9</f>
        <v>279000</v>
      </c>
      <c r="E11" s="19"/>
      <c r="F11" s="19"/>
      <c r="G11" s="12"/>
      <c r="H11" s="26" t="s">
        <v>39</v>
      </c>
      <c r="I11" s="90">
        <f>'2-CR équilibre'!I10</f>
        <v>28</v>
      </c>
      <c r="J11" s="96">
        <f>'2-CR équilibre'!J10-('2-CR équilibre'!J10*10%)</f>
        <v>414</v>
      </c>
      <c r="K11" s="61">
        <f>(J11*I11)</f>
        <v>11592</v>
      </c>
      <c r="L11" s="97">
        <f>'2-CR équilibre'!L10</f>
        <v>7.0000000000000007E-2</v>
      </c>
      <c r="M11" s="61">
        <f>K11+(K11*L11)</f>
        <v>12403.44</v>
      </c>
      <c r="N11" s="96">
        <f t="shared" si="0"/>
        <v>11592</v>
      </c>
      <c r="O11" s="29"/>
    </row>
    <row r="12" spans="1:15" ht="29.25" customHeight="1" x14ac:dyDescent="0.25">
      <c r="A12" s="16" t="s">
        <v>11</v>
      </c>
      <c r="B12" s="69">
        <f>+B9-B10-B11</f>
        <v>38737.440000000002</v>
      </c>
      <c r="C12" s="69">
        <f>+C9-C10-C11</f>
        <v>108155.99062400003</v>
      </c>
      <c r="D12" s="69">
        <f>+D9-D10-D11</f>
        <v>144396.78546720004</v>
      </c>
      <c r="E12" s="98">
        <f>B12/B9</f>
        <v>0.27442719278558753</v>
      </c>
      <c r="F12" s="98">
        <f>C12/C9</f>
        <v>0.36021259858705018</v>
      </c>
      <c r="G12" s="8"/>
      <c r="H12" s="26" t="s">
        <v>41</v>
      </c>
      <c r="I12" s="89">
        <f>'2-CR équilibre'!I11</f>
        <v>27</v>
      </c>
      <c r="J12" s="96">
        <f>'2-CR équilibre'!J11-('2-CR équilibre'!J11*10%)</f>
        <v>1296</v>
      </c>
      <c r="K12" s="61">
        <f>(J12*I12)</f>
        <v>34992</v>
      </c>
      <c r="L12" s="97">
        <f>'2-CR équilibre'!L11</f>
        <v>7.0000000000000007E-2</v>
      </c>
      <c r="M12" s="61">
        <f>K12+(K12*L12)</f>
        <v>37441.440000000002</v>
      </c>
      <c r="N12" s="96">
        <f t="shared" si="0"/>
        <v>34992</v>
      </c>
      <c r="O12" s="29"/>
    </row>
    <row r="13" spans="1:15" x14ac:dyDescent="0.2">
      <c r="A13" s="24" t="str">
        <f>'2-CR équilibre'!A12</f>
        <v>Autres charges externes</v>
      </c>
      <c r="B13" s="25">
        <f>+B46</f>
        <v>44329.599999999999</v>
      </c>
      <c r="C13" s="25">
        <f>+C46</f>
        <v>68588.110459999996</v>
      </c>
      <c r="D13" s="25">
        <f>+D46</f>
        <v>83016.221212999997</v>
      </c>
      <c r="E13" s="8"/>
      <c r="F13" s="8"/>
      <c r="G13" s="8"/>
      <c r="H13" s="26" t="s">
        <v>44</v>
      </c>
      <c r="I13" s="89">
        <f>'2-CR équilibre'!I12</f>
        <v>8.34</v>
      </c>
      <c r="J13" s="96">
        <f>'2-CR équilibre'!J12-('2-CR équilibre'!J12*10%)</f>
        <v>5616</v>
      </c>
      <c r="K13" s="61">
        <f>(J13*I13)</f>
        <v>46837.440000000002</v>
      </c>
      <c r="L13" s="97">
        <f>'2-CR équilibre'!L12</f>
        <v>7.0000000000000007E-2</v>
      </c>
      <c r="M13" s="61">
        <f>K13+(K13*L13)</f>
        <v>50116.060800000007</v>
      </c>
      <c r="N13" s="96">
        <f t="shared" si="0"/>
        <v>46837.440000000002</v>
      </c>
      <c r="O13" s="29"/>
    </row>
    <row r="14" spans="1:15" x14ac:dyDescent="0.2">
      <c r="A14" s="24" t="str">
        <f>'2-CR équilibre'!A13</f>
        <v>Impôts et taxes</v>
      </c>
      <c r="B14" s="25">
        <f>'2-CR équilibre'!B13</f>
        <v>3000</v>
      </c>
      <c r="C14" s="25">
        <f>'2-CR équilibre'!C13</f>
        <v>4000</v>
      </c>
      <c r="D14" s="25">
        <f>'2-CR équilibre'!D13</f>
        <v>5000</v>
      </c>
      <c r="E14" s="8"/>
      <c r="F14" s="8"/>
      <c r="G14" s="8"/>
      <c r="H14" s="26" t="s">
        <v>43</v>
      </c>
      <c r="I14" s="89">
        <f>'2-CR équilibre'!I13</f>
        <v>9</v>
      </c>
      <c r="J14" s="96">
        <f>'2-CR équilibre'!J13-('2-CR équilibre'!J13*10%)</f>
        <v>936</v>
      </c>
      <c r="K14" s="61">
        <f>(J14*I14)</f>
        <v>8424</v>
      </c>
      <c r="L14" s="97">
        <f>'2-CR équilibre'!L13</f>
        <v>7.0000000000000007E-2</v>
      </c>
      <c r="M14" s="61">
        <f>K14+(K14*L14)</f>
        <v>9013.68</v>
      </c>
      <c r="N14" s="96">
        <f t="shared" si="0"/>
        <v>8424</v>
      </c>
      <c r="O14" s="29"/>
    </row>
    <row r="15" spans="1:15" ht="13.5" thickBot="1" x14ac:dyDescent="0.25">
      <c r="A15" s="24" t="str">
        <f>'2-CR équilibre'!A14</f>
        <v>Intérêt emprunts</v>
      </c>
      <c r="B15" s="25">
        <f>'2-CR équilibre'!B14</f>
        <v>1842</v>
      </c>
      <c r="C15" s="25">
        <f>'2-CR équilibre'!C14</f>
        <v>1561</v>
      </c>
      <c r="D15" s="25">
        <f>'2-CR équilibre'!D14</f>
        <v>1279</v>
      </c>
      <c r="E15" s="8"/>
      <c r="F15" s="8"/>
      <c r="G15" s="8"/>
      <c r="H15" s="37" t="s">
        <v>15</v>
      </c>
      <c r="I15" s="38"/>
      <c r="J15" s="65"/>
      <c r="K15" s="65"/>
      <c r="L15" s="66"/>
      <c r="M15" s="67">
        <f>SUM(M10:M14)</f>
        <v>151038.4608</v>
      </c>
      <c r="N15" s="96">
        <f t="shared" si="0"/>
        <v>141157.44</v>
      </c>
    </row>
    <row r="16" spans="1:15" x14ac:dyDescent="0.2">
      <c r="A16" s="24" t="str">
        <f>'2-CR équilibre'!A15</f>
        <v>Capital emprunt</v>
      </c>
      <c r="B16" s="91">
        <f>'2-CR équilibre'!B15</f>
        <v>0</v>
      </c>
      <c r="C16" s="91">
        <f>'2-CR équilibre'!C15</f>
        <v>0</v>
      </c>
      <c r="D16" s="91">
        <f>'2-CR équilibre'!D15</f>
        <v>0</v>
      </c>
      <c r="E16" s="8"/>
      <c r="F16" s="8"/>
      <c r="G16" s="8"/>
    </row>
    <row r="17" spans="1:8" ht="15.75" x14ac:dyDescent="0.25">
      <c r="A17" s="92" t="str">
        <f>'2-CR équilibre'!A16</f>
        <v>Reste à vivre</v>
      </c>
      <c r="B17" s="70">
        <f>-SUM(B13:B16)+B12</f>
        <v>-10434.159999999996</v>
      </c>
      <c r="C17" s="70">
        <f>-SUM(C13:C16)+C12</f>
        <v>34006.880164000031</v>
      </c>
      <c r="D17" s="70">
        <f>-SUM(D13:D16)+D12</f>
        <v>55101.564254200042</v>
      </c>
      <c r="E17" s="41"/>
      <c r="F17" s="41"/>
      <c r="G17" s="8"/>
    </row>
    <row r="18" spans="1:8" s="32" customFormat="1" x14ac:dyDescent="0.2">
      <c r="A18" s="92" t="str">
        <f>'2-CR équilibre'!A17</f>
        <v>Soit par mois</v>
      </c>
      <c r="B18" s="71">
        <f>B17/12</f>
        <v>-869.51333333333298</v>
      </c>
      <c r="C18" s="71">
        <f>C17/12</f>
        <v>2833.9066803333358</v>
      </c>
      <c r="D18" s="71">
        <f>D17/12</f>
        <v>4591.7970211833372</v>
      </c>
      <c r="E18" s="41"/>
      <c r="F18" s="41"/>
      <c r="G18" s="12"/>
    </row>
    <row r="19" spans="1:8" x14ac:dyDescent="0.2">
      <c r="A19" s="24" t="s">
        <v>16</v>
      </c>
      <c r="B19" s="99">
        <f>+B20*0.5</f>
        <v>5700</v>
      </c>
      <c r="C19" s="99">
        <f>+C20*0.5</f>
        <v>9000</v>
      </c>
      <c r="D19" s="99">
        <f>+D20*0.5</f>
        <v>12500</v>
      </c>
      <c r="E19" s="12"/>
      <c r="F19" s="12"/>
      <c r="G19" s="8"/>
    </row>
    <row r="20" spans="1:8" ht="16.5" customHeight="1" x14ac:dyDescent="0.2">
      <c r="A20" s="45" t="str">
        <f>'2-CR équilibre'!A19</f>
        <v>Prélèvement exploitant/AN</v>
      </c>
      <c r="B20" s="72">
        <f>+'2-CR équilibre'!B19</f>
        <v>11400</v>
      </c>
      <c r="C20" s="72">
        <f>+'2-CR équilibre'!C19</f>
        <v>18000</v>
      </c>
      <c r="D20" s="72">
        <f>+'2-CR équilibre'!D19</f>
        <v>25000</v>
      </c>
      <c r="E20" s="8"/>
      <c r="F20" s="8"/>
      <c r="G20" s="8"/>
    </row>
    <row r="21" spans="1:8" ht="15.75" x14ac:dyDescent="0.25">
      <c r="A21" s="40" t="str">
        <f>'2-CR équilibre'!A20</f>
        <v>Soit revenu mensuel</v>
      </c>
      <c r="B21" s="73">
        <f>B20/12</f>
        <v>950</v>
      </c>
      <c r="C21" s="73">
        <f>C20/12</f>
        <v>1500</v>
      </c>
      <c r="D21" s="74">
        <f>D20/12</f>
        <v>2083.3333333333335</v>
      </c>
      <c r="E21" s="8"/>
      <c r="F21" s="8"/>
      <c r="G21" s="8"/>
    </row>
    <row r="22" spans="1:8" ht="21" thickBot="1" x14ac:dyDescent="0.35">
      <c r="A22" s="93" t="s">
        <v>64</v>
      </c>
      <c r="B22" s="75">
        <f>+B12-B13-B14-B15-B20-B19</f>
        <v>-27534.159999999996</v>
      </c>
      <c r="C22" s="75">
        <f>+C12-C13-C14-C15-C20-C19</f>
        <v>7006.8801640000311</v>
      </c>
      <c r="D22" s="75">
        <f>+D12-D13-D14-D15-D20-D19</f>
        <v>17601.564254200042</v>
      </c>
      <c r="E22" s="8"/>
      <c r="F22" s="8"/>
      <c r="G22" s="8"/>
    </row>
    <row r="23" spans="1:8" ht="24" customHeight="1" thickBot="1" x14ac:dyDescent="0.3">
      <c r="A23" s="47" t="s">
        <v>65</v>
      </c>
      <c r="B23" s="75"/>
      <c r="C23" s="75">
        <f>+B22+C22</f>
        <v>-20527.279835999965</v>
      </c>
      <c r="D23" s="75">
        <f>+C23+D22</f>
        <v>-2925.7155817999228</v>
      </c>
      <c r="E23" s="8"/>
      <c r="F23" s="8"/>
      <c r="G23" s="8"/>
    </row>
    <row r="24" spans="1:8" x14ac:dyDescent="0.2">
      <c r="A24" s="12"/>
      <c r="B24" s="48"/>
      <c r="C24" s="48"/>
      <c r="D24" s="48"/>
      <c r="E24" s="8"/>
      <c r="F24" s="8"/>
      <c r="G24" s="8"/>
    </row>
    <row r="25" spans="1:8" x14ac:dyDescent="0.2">
      <c r="A25" s="12" t="s">
        <v>23</v>
      </c>
      <c r="B25" s="48"/>
      <c r="C25" s="48"/>
      <c r="D25" s="48"/>
      <c r="E25" s="8"/>
      <c r="F25" s="8"/>
      <c r="G25" s="8"/>
    </row>
    <row r="26" spans="1:8" x14ac:dyDescent="0.2">
      <c r="A26" s="12"/>
      <c r="B26" s="13" t="s">
        <v>1</v>
      </c>
      <c r="C26" s="49" t="s">
        <v>2</v>
      </c>
      <c r="D26" s="50" t="s">
        <v>3</v>
      </c>
      <c r="E26" s="8"/>
      <c r="F26" s="8"/>
      <c r="G26" s="8"/>
    </row>
    <row r="27" spans="1:8" x14ac:dyDescent="0.2">
      <c r="A27" s="8"/>
      <c r="B27" s="15" t="s">
        <v>4</v>
      </c>
      <c r="C27" s="51" t="s">
        <v>4</v>
      </c>
      <c r="D27" s="51" t="s">
        <v>4</v>
      </c>
      <c r="E27" s="8"/>
      <c r="F27" s="8"/>
      <c r="G27" s="52"/>
      <c r="H27" s="94"/>
    </row>
    <row r="28" spans="1:8" x14ac:dyDescent="0.2">
      <c r="A28" s="54" t="str">
        <f>'2-CR équilibre'!A27</f>
        <v>Energie</v>
      </c>
      <c r="B28" s="55">
        <f>'2-CR équilibre'!B27</f>
        <v>240</v>
      </c>
      <c r="C28" s="55">
        <f>'2-CR équilibre'!C27</f>
        <v>252</v>
      </c>
      <c r="D28" s="55">
        <f>'2-CR équilibre'!D27</f>
        <v>265</v>
      </c>
      <c r="E28" s="8"/>
      <c r="F28" s="8"/>
      <c r="G28" s="8"/>
    </row>
    <row r="29" spans="1:8" x14ac:dyDescent="0.2">
      <c r="A29" s="24" t="str">
        <f>'2-CR équilibre'!A28</f>
        <v>Produit entretien</v>
      </c>
      <c r="B29" s="56">
        <f>'2-CR équilibre'!B28</f>
        <v>50</v>
      </c>
      <c r="C29" s="56">
        <f>'2-CR équilibre'!C28</f>
        <v>102</v>
      </c>
      <c r="D29" s="56">
        <f>'2-CR équilibre'!D28</f>
        <v>100</v>
      </c>
      <c r="E29" s="8"/>
      <c r="F29" s="8"/>
      <c r="G29" s="8"/>
    </row>
    <row r="30" spans="1:8" x14ac:dyDescent="0.2">
      <c r="A30" s="24" t="str">
        <f>'2-CR équilibre'!A29</f>
        <v>Fournitures diverses</v>
      </c>
      <c r="B30" s="56">
        <f>'2-CR équilibre'!B29</f>
        <v>500</v>
      </c>
      <c r="C30" s="56">
        <f>'2-CR équilibre'!C29</f>
        <v>525</v>
      </c>
      <c r="D30" s="56">
        <f>'2-CR équilibre'!D29</f>
        <v>551</v>
      </c>
      <c r="E30" s="8"/>
      <c r="F30" s="8"/>
      <c r="G30" s="8"/>
    </row>
    <row r="31" spans="1:8" x14ac:dyDescent="0.2">
      <c r="A31" s="24" t="str">
        <f>'2-CR équilibre'!A30</f>
        <v>Assurances</v>
      </c>
      <c r="B31" s="56">
        <f>'2-CR équilibre'!B30</f>
        <v>392.10400000000004</v>
      </c>
      <c r="C31" s="56">
        <f>'2-CR équilibre'!C30</f>
        <v>834.04441840000004</v>
      </c>
      <c r="D31" s="56">
        <f>'2-CR équilibre'!D30</f>
        <v>1292.7688485200001</v>
      </c>
      <c r="E31" s="8"/>
      <c r="F31" s="8"/>
      <c r="G31" s="8"/>
    </row>
    <row r="32" spans="1:8" x14ac:dyDescent="0.2">
      <c r="A32" s="24" t="str">
        <f>'2-CR équilibre'!A31</f>
        <v>Honoraires</v>
      </c>
      <c r="B32" s="56">
        <f>'2-CR équilibre'!B31</f>
        <v>2500</v>
      </c>
      <c r="C32" s="56">
        <f>'2-CR équilibre'!C31</f>
        <v>2500</v>
      </c>
      <c r="D32" s="56">
        <f>'2-CR équilibre'!D31</f>
        <v>2500</v>
      </c>
      <c r="E32" s="8"/>
      <c r="F32" s="8"/>
      <c r="G32" s="8"/>
    </row>
    <row r="33" spans="1:7" x14ac:dyDescent="0.2">
      <c r="A33" s="24" t="str">
        <f>'2-CR équilibre'!A32</f>
        <v>Téléphone</v>
      </c>
      <c r="B33" s="56">
        <f>'2-CR équilibre'!B32</f>
        <v>0</v>
      </c>
      <c r="C33" s="56">
        <f>'2-CR équilibre'!C32</f>
        <v>0</v>
      </c>
      <c r="D33" s="56">
        <f>'2-CR équilibre'!D32</f>
        <v>0</v>
      </c>
      <c r="E33" s="8"/>
      <c r="F33" s="8"/>
      <c r="G33" s="8"/>
    </row>
    <row r="34" spans="1:7" x14ac:dyDescent="0.2">
      <c r="A34" s="24" t="str">
        <f>'2-CR équilibre'!A33</f>
        <v>Loyer</v>
      </c>
      <c r="B34" s="56">
        <f>'2-CR équilibre'!B33</f>
        <v>6900</v>
      </c>
      <c r="C34" s="56">
        <f>'2-CR équilibre'!C33</f>
        <v>6900</v>
      </c>
      <c r="D34" s="56">
        <f>'2-CR équilibre'!D33</f>
        <v>6900</v>
      </c>
      <c r="E34" s="8"/>
      <c r="F34" s="8"/>
      <c r="G34" s="8"/>
    </row>
    <row r="35" spans="1:7" x14ac:dyDescent="0.2">
      <c r="A35" s="57" t="str">
        <f>'2-CR équilibre'!A34</f>
        <v>Leasing véhicule</v>
      </c>
      <c r="B35" s="56">
        <f>'2-CR équilibre'!B34</f>
        <v>7767</v>
      </c>
      <c r="C35" s="56">
        <f>'2-CR équilibre'!C34</f>
        <v>14600</v>
      </c>
      <c r="D35" s="56">
        <f>'2-CR équilibre'!D34</f>
        <v>14600</v>
      </c>
      <c r="E35" s="8"/>
      <c r="F35" s="8"/>
      <c r="G35" s="8"/>
    </row>
    <row r="36" spans="1:7" x14ac:dyDescent="0.2">
      <c r="A36" s="24" t="str">
        <f>'2-CR équilibre'!A35</f>
        <v>Publicité</v>
      </c>
      <c r="B36" s="56">
        <f>'2-CR équilibre'!B35</f>
        <v>5000</v>
      </c>
      <c r="C36" s="56">
        <f>'2-CR équilibre'!C35</f>
        <v>3000</v>
      </c>
      <c r="D36" s="56">
        <f>'2-CR équilibre'!D35</f>
        <v>2000</v>
      </c>
      <c r="E36" s="8"/>
      <c r="F36" s="8"/>
      <c r="G36" s="8"/>
    </row>
    <row r="37" spans="1:7" x14ac:dyDescent="0.2">
      <c r="A37" s="24" t="str">
        <f>'2-CR équilibre'!A36</f>
        <v>Services bancaires</v>
      </c>
      <c r="B37" s="56">
        <f>'2-CR équilibre'!B36</f>
        <v>950</v>
      </c>
      <c r="C37" s="56">
        <f>'2-CR équilibre'!C36</f>
        <v>1938</v>
      </c>
      <c r="D37" s="56">
        <f>'2-CR équilibre'!D36</f>
        <v>2500</v>
      </c>
      <c r="E37" s="8"/>
      <c r="F37" s="8"/>
      <c r="G37" s="8"/>
    </row>
    <row r="38" spans="1:7" x14ac:dyDescent="0.2">
      <c r="A38" s="57" t="str">
        <f>'2-CR équilibre'!A37</f>
        <v>Carburant</v>
      </c>
      <c r="B38" s="56">
        <f>'2-CR équilibre'!B37</f>
        <v>4050</v>
      </c>
      <c r="C38" s="56">
        <f>'2-CR équilibre'!C37</f>
        <v>7500</v>
      </c>
      <c r="D38" s="56">
        <f>'2-CR équilibre'!D37</f>
        <v>7800</v>
      </c>
      <c r="E38" s="8"/>
      <c r="F38" s="8"/>
      <c r="G38" s="8"/>
    </row>
    <row r="39" spans="1:7" x14ac:dyDescent="0.2">
      <c r="A39" s="57" t="str">
        <f>'2-CR équilibre'!A38</f>
        <v>Entretien véhicules</v>
      </c>
      <c r="B39" s="56">
        <f>'2-CR équilibre'!B38</f>
        <v>2070</v>
      </c>
      <c r="C39" s="56">
        <f>'2-CR équilibre'!C38</f>
        <v>4500</v>
      </c>
      <c r="D39" s="56">
        <f>'2-CR équilibre'!D38</f>
        <v>5800</v>
      </c>
      <c r="E39" s="8"/>
      <c r="F39" s="8"/>
      <c r="G39" s="8"/>
    </row>
    <row r="40" spans="1:7" x14ac:dyDescent="0.2">
      <c r="A40" s="57" t="str">
        <f>'2-CR équilibre'!A39</f>
        <v>Frais déplacement</v>
      </c>
      <c r="B40" s="56">
        <f>'2-CR équilibre'!B39</f>
        <v>500</v>
      </c>
      <c r="C40" s="56">
        <f>'2-CR équilibre'!C39</f>
        <v>1020</v>
      </c>
      <c r="D40" s="56">
        <f>'2-CR équilibre'!D39</f>
        <v>1581</v>
      </c>
      <c r="E40" s="8"/>
      <c r="F40" s="8"/>
      <c r="G40" s="8"/>
    </row>
    <row r="41" spans="1:7" x14ac:dyDescent="0.2">
      <c r="A41" s="57" t="str">
        <f>'2-CR équilibre'!A40</f>
        <v>Frais formation</v>
      </c>
      <c r="B41" s="56">
        <f>'2-CR équilibre'!B40</f>
        <v>2000</v>
      </c>
      <c r="C41" s="56">
        <f>'2-CR équilibre'!C40</f>
        <v>2000</v>
      </c>
      <c r="D41" s="56">
        <f>'2-CR équilibre'!D40</f>
        <v>2000</v>
      </c>
      <c r="E41" s="8"/>
      <c r="F41" s="8"/>
      <c r="G41" s="8"/>
    </row>
    <row r="42" spans="1:7" x14ac:dyDescent="0.2">
      <c r="A42" s="57" t="str">
        <f>'2-CR équilibre'!A41</f>
        <v>Redevance franchise 1% du CA</v>
      </c>
      <c r="B42" s="56">
        <f>'2-CR équilibre'!B41</f>
        <v>1568.4160000000002</v>
      </c>
      <c r="C42" s="56">
        <f>'2-CR équilibre'!C41</f>
        <v>3336.1776736000002</v>
      </c>
      <c r="D42" s="56">
        <f>'2-CR équilibre'!D41</f>
        <v>5171.0753940800005</v>
      </c>
      <c r="E42" s="8"/>
      <c r="F42" s="8"/>
    </row>
    <row r="43" spans="1:7" x14ac:dyDescent="0.2">
      <c r="A43" s="57" t="str">
        <f>'2-CR équilibre'!A42</f>
        <v>Redevance franchise 5% du CA</v>
      </c>
      <c r="B43" s="56">
        <f>'2-CR équilibre'!B42</f>
        <v>7842.0800000000008</v>
      </c>
      <c r="C43" s="56">
        <f>'2-CR équilibre'!C42</f>
        <v>16680.888368</v>
      </c>
      <c r="D43" s="56">
        <f>'2-CR équilibre'!D42</f>
        <v>25855.376970400001</v>
      </c>
    </row>
    <row r="44" spans="1:7" x14ac:dyDescent="0.2">
      <c r="A44" s="24" t="str">
        <f>'2-CR équilibre'!A43</f>
        <v>Affranchissements</v>
      </c>
      <c r="B44" s="56">
        <f>'2-CR équilibre'!B43</f>
        <v>2000</v>
      </c>
      <c r="C44" s="56">
        <f>'2-CR équilibre'!C43</f>
        <v>2900</v>
      </c>
      <c r="D44" s="56">
        <f>'2-CR équilibre'!D43</f>
        <v>4100</v>
      </c>
    </row>
    <row r="45" spans="1:7" x14ac:dyDescent="0.2">
      <c r="A45" s="24" t="str">
        <f>'2-CR équilibre'!A44</f>
        <v>Petit matériel</v>
      </c>
      <c r="B45" s="56">
        <f>'2-CR équilibre'!B44</f>
        <v>0</v>
      </c>
      <c r="C45" s="56">
        <f>'2-CR équilibre'!C44</f>
        <v>0</v>
      </c>
      <c r="D45" s="56">
        <f>'2-CR équilibre'!D44</f>
        <v>0</v>
      </c>
    </row>
    <row r="46" spans="1:7" x14ac:dyDescent="0.2">
      <c r="A46" s="58" t="s">
        <v>35</v>
      </c>
      <c r="B46" s="84">
        <f>SUM(B28:B45)</f>
        <v>44329.599999999999</v>
      </c>
      <c r="C46" s="84">
        <f>SUM(C28:C45)</f>
        <v>68588.110459999996</v>
      </c>
      <c r="D46" s="84">
        <f>SUM(D28:D45)</f>
        <v>83016.221212999997</v>
      </c>
    </row>
    <row r="47" spans="1:7" x14ac:dyDescent="0.2">
      <c r="A47" s="95"/>
      <c r="B47" s="95"/>
      <c r="C47" s="95"/>
      <c r="D47" s="95"/>
    </row>
    <row r="49" ht="11.1" customHeight="1" x14ac:dyDescent="0.2"/>
    <row r="50" ht="11.1" customHeight="1" x14ac:dyDescent="0.2"/>
  </sheetData>
  <sheetProtection sheet="1"/>
  <mergeCells count="4">
    <mergeCell ref="H8:N8"/>
    <mergeCell ref="A1:N1"/>
    <mergeCell ref="A2:N2"/>
    <mergeCell ref="A3:N3"/>
  </mergeCells>
  <phoneticPr fontId="2" type="noConversion"/>
  <conditionalFormatting sqref="B22:D22">
    <cfRule type="cellIs" dxfId="35" priority="4" stopIfTrue="1" operator="lessThan">
      <formula>0</formula>
    </cfRule>
    <cfRule type="cellIs" dxfId="34" priority="5" stopIfTrue="1" operator="lessThan">
      <formula>0</formula>
    </cfRule>
    <cfRule type="cellIs" dxfId="33" priority="6" stopIfTrue="1" operator="lessThan">
      <formula>0</formula>
    </cfRule>
  </conditionalFormatting>
  <conditionalFormatting sqref="B23:D23">
    <cfRule type="cellIs" dxfId="32" priority="1" stopIfTrue="1" operator="lessThan">
      <formula>0</formula>
    </cfRule>
    <cfRule type="cellIs" dxfId="31" priority="2" stopIfTrue="1" operator="lessThan">
      <formula>0</formula>
    </cfRule>
    <cfRule type="cellIs" dxfId="30" priority="3" stopIfTrue="1" operator="lessThan">
      <formula>0</formula>
    </cfRule>
  </conditionalFormatting>
  <pageMargins left="0.23622047244094491" right="0.23622047244094491" top="0.55118110236220474" bottom="0.74803149606299213" header="0.31496062992125984" footer="0.31496062992125984"/>
  <pageSetup paperSize="9" scale="70" fitToHeight="0" orientation="landscape" horizontalDpi="300" verticalDpi="300"/>
  <ignoredErrors>
    <ignoredError sqref="A28 A29:A45 B28:D45" unlockedFormula="1"/>
  </ignoredError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O46"/>
  <sheetViews>
    <sheetView zoomScale="75" zoomScaleNormal="75" zoomScalePageLayoutView="75" workbookViewId="0">
      <selection activeCell="B46" sqref="B46:D46"/>
    </sheetView>
  </sheetViews>
  <sheetFormatPr baseColWidth="10" defaultColWidth="11.42578125" defaultRowHeight="12.75" x14ac:dyDescent="0.2"/>
  <cols>
    <col min="1" max="1" width="33" style="5" customWidth="1"/>
    <col min="2" max="4" width="12.7109375" style="5" customWidth="1"/>
    <col min="5" max="7" width="7.7109375" style="5" customWidth="1"/>
    <col min="8" max="8" width="24.28515625" style="5" customWidth="1"/>
    <col min="9" max="9" width="9.140625" style="5" customWidth="1"/>
    <col min="10" max="10" width="20.28515625" style="100" customWidth="1"/>
    <col min="11" max="11" width="12.85546875" style="5" bestFit="1" customWidth="1"/>
    <col min="12" max="12" width="7.85546875" style="5" customWidth="1"/>
    <col min="13" max="13" width="15.42578125" style="5" customWidth="1"/>
    <col min="14" max="14" width="15.28515625" style="5" customWidth="1"/>
    <col min="15" max="16384" width="11.42578125" style="5"/>
  </cols>
  <sheetData>
    <row r="1" spans="1:15" ht="25.5" customHeight="1" x14ac:dyDescent="0.2">
      <c r="A1" s="160" t="s">
        <v>76</v>
      </c>
      <c r="B1" s="160"/>
      <c r="C1" s="160"/>
      <c r="D1" s="160"/>
      <c r="E1" s="160"/>
      <c r="F1" s="160"/>
      <c r="G1" s="160"/>
      <c r="H1" s="160"/>
      <c r="I1" s="160"/>
      <c r="J1" s="160"/>
      <c r="K1" s="160"/>
      <c r="L1" s="160"/>
      <c r="M1" s="160"/>
      <c r="N1" s="160"/>
    </row>
    <row r="2" spans="1:15" s="86" customFormat="1" ht="15.75" x14ac:dyDescent="0.25">
      <c r="A2" s="164" t="s">
        <v>98</v>
      </c>
      <c r="B2" s="164"/>
      <c r="C2" s="164"/>
      <c r="D2" s="164"/>
      <c r="E2" s="164"/>
      <c r="F2" s="164"/>
      <c r="G2" s="164"/>
      <c r="H2" s="164"/>
      <c r="I2" s="164"/>
      <c r="J2" s="164"/>
      <c r="K2" s="164"/>
      <c r="L2" s="164"/>
      <c r="M2" s="164"/>
      <c r="N2" s="164"/>
    </row>
    <row r="3" spans="1:15" s="86" customFormat="1" ht="15" x14ac:dyDescent="0.2">
      <c r="A3" s="164" t="s">
        <v>86</v>
      </c>
      <c r="B3" s="164"/>
      <c r="C3" s="164"/>
      <c r="D3" s="164"/>
      <c r="E3" s="164"/>
      <c r="F3" s="164"/>
      <c r="G3" s="164"/>
      <c r="H3" s="164"/>
      <c r="I3" s="164"/>
      <c r="J3" s="164"/>
      <c r="K3" s="164"/>
      <c r="L3" s="164"/>
      <c r="M3" s="164"/>
      <c r="N3" s="164"/>
    </row>
    <row r="5" spans="1:15" x14ac:dyDescent="0.2">
      <c r="A5" s="12"/>
      <c r="B5" s="8"/>
      <c r="C5" s="8"/>
      <c r="D5" s="8"/>
      <c r="E5" s="8" t="s">
        <v>0</v>
      </c>
      <c r="F5" s="8"/>
      <c r="G5" s="11">
        <v>0.35</v>
      </c>
    </row>
    <row r="6" spans="1:15" x14ac:dyDescent="0.2">
      <c r="A6" s="8"/>
      <c r="B6" s="8"/>
      <c r="C6" s="8"/>
      <c r="D6" s="8"/>
      <c r="E6" s="8"/>
      <c r="F6" s="8"/>
      <c r="G6" s="8"/>
    </row>
    <row r="7" spans="1:15" ht="13.5" thickBot="1" x14ac:dyDescent="0.25">
      <c r="A7" s="12"/>
      <c r="B7" s="13" t="s">
        <v>1</v>
      </c>
      <c r="C7" s="13" t="s">
        <v>2</v>
      </c>
      <c r="D7" s="14" t="s">
        <v>3</v>
      </c>
      <c r="E7" s="8"/>
      <c r="F7" s="8"/>
      <c r="G7" s="8"/>
    </row>
    <row r="8" spans="1:15" ht="15.75" customHeight="1" x14ac:dyDescent="0.2">
      <c r="A8" s="8"/>
      <c r="B8" s="15" t="s">
        <v>4</v>
      </c>
      <c r="C8" s="15" t="s">
        <v>4</v>
      </c>
      <c r="D8" s="15" t="s">
        <v>4</v>
      </c>
      <c r="E8" s="8"/>
      <c r="F8" s="8"/>
      <c r="G8" s="8"/>
      <c r="H8" s="165" t="s">
        <v>5</v>
      </c>
      <c r="I8" s="166"/>
      <c r="J8" s="166"/>
      <c r="K8" s="166"/>
      <c r="L8" s="166"/>
      <c r="M8" s="166"/>
      <c r="N8" s="167"/>
      <c r="O8" s="29"/>
    </row>
    <row r="9" spans="1:15" s="32" customFormat="1" ht="39" x14ac:dyDescent="0.25">
      <c r="A9" s="16" t="s">
        <v>6</v>
      </c>
      <c r="B9" s="96">
        <f>N15</f>
        <v>141120</v>
      </c>
      <c r="C9" s="96">
        <f>B9*2.1271</f>
        <v>300176.35200000001</v>
      </c>
      <c r="D9" s="96">
        <f>C9*1.55</f>
        <v>465273.34560000006</v>
      </c>
      <c r="E9" s="19">
        <f>C9/B9</f>
        <v>2.1271</v>
      </c>
      <c r="F9" s="19">
        <f>D9/C9</f>
        <v>1.55</v>
      </c>
      <c r="G9" s="19"/>
      <c r="H9" s="20" t="s">
        <v>36</v>
      </c>
      <c r="I9" s="21" t="s">
        <v>42</v>
      </c>
      <c r="J9" s="21" t="s">
        <v>45</v>
      </c>
      <c r="K9" s="22" t="s">
        <v>38</v>
      </c>
      <c r="L9" s="22" t="s">
        <v>40</v>
      </c>
      <c r="M9" s="15" t="s">
        <v>7</v>
      </c>
      <c r="N9" s="23" t="s">
        <v>8</v>
      </c>
      <c r="O9" s="29"/>
    </row>
    <row r="10" spans="1:15" ht="22.5" customHeight="1" x14ac:dyDescent="0.2">
      <c r="A10" s="24" t="s">
        <v>10</v>
      </c>
      <c r="B10" s="106">
        <f>'2-CR équilibre'!B9</f>
        <v>18000</v>
      </c>
      <c r="C10" s="106">
        <f>'2-CR équilibre'!C9</f>
        <v>22000</v>
      </c>
      <c r="D10" s="106">
        <f>'2-CR équilibre'!D9</f>
        <v>42000</v>
      </c>
      <c r="E10" s="19">
        <f>C10/B10</f>
        <v>1.2222222222222223</v>
      </c>
      <c r="F10" s="19">
        <f>D10/C10</f>
        <v>1.9090909090909092</v>
      </c>
      <c r="G10" s="19"/>
      <c r="H10" s="26" t="s">
        <v>37</v>
      </c>
      <c r="I10" s="104">
        <v>22</v>
      </c>
      <c r="J10" s="96">
        <f>'2-CR équilibre'!J9-('2-CR équilibre'!J9*10%)</f>
        <v>1872</v>
      </c>
      <c r="K10" s="61">
        <f>(J10*I10)</f>
        <v>41184</v>
      </c>
      <c r="L10" s="97">
        <f>'2-CR équilibre'!L9</f>
        <v>7.0000000000000007E-2</v>
      </c>
      <c r="M10" s="61">
        <f>K10+(K10*L10)</f>
        <v>44066.879999999997</v>
      </c>
      <c r="N10" s="96">
        <f t="shared" ref="N10:N15" si="0">M10/1.07</f>
        <v>41183.999999999993</v>
      </c>
      <c r="O10" s="29"/>
    </row>
    <row r="11" spans="1:15" x14ac:dyDescent="0.2">
      <c r="A11" s="24" t="s">
        <v>14</v>
      </c>
      <c r="B11" s="106">
        <f>93800*0.9</f>
        <v>84420</v>
      </c>
      <c r="C11" s="106">
        <f>189000*0.9</f>
        <v>170100</v>
      </c>
      <c r="D11" s="106">
        <f>310000*0.9</f>
        <v>279000</v>
      </c>
      <c r="E11" s="19"/>
      <c r="F11" s="19"/>
      <c r="G11" s="12"/>
      <c r="H11" s="26" t="s">
        <v>39</v>
      </c>
      <c r="I11" s="104">
        <v>28</v>
      </c>
      <c r="J11" s="96">
        <f>'2-CR équilibre'!J10-('2-CR équilibre'!J10*10%)</f>
        <v>414</v>
      </c>
      <c r="K11" s="61">
        <f>(J11*I11)</f>
        <v>11592</v>
      </c>
      <c r="L11" s="97">
        <f>'2-CR équilibre'!L10</f>
        <v>7.0000000000000007E-2</v>
      </c>
      <c r="M11" s="61">
        <f>K11+(K11*L11)</f>
        <v>12403.44</v>
      </c>
      <c r="N11" s="96">
        <f t="shared" si="0"/>
        <v>11592</v>
      </c>
      <c r="O11" s="29"/>
    </row>
    <row r="12" spans="1:15" ht="26.25" x14ac:dyDescent="0.25">
      <c r="A12" s="16" t="s">
        <v>11</v>
      </c>
      <c r="B12" s="69">
        <f>+B9-B10-B11</f>
        <v>38700</v>
      </c>
      <c r="C12" s="69">
        <f>+C9-C10-C11</f>
        <v>108076.35200000001</v>
      </c>
      <c r="D12" s="69">
        <f>+D9-D10-D11</f>
        <v>144273.34560000006</v>
      </c>
      <c r="E12" s="33">
        <f>B12/B9</f>
        <v>0.27423469387755101</v>
      </c>
      <c r="F12" s="33">
        <f>C12/C9</f>
        <v>0.36004285907238959</v>
      </c>
      <c r="G12" s="8"/>
      <c r="H12" s="26" t="s">
        <v>41</v>
      </c>
      <c r="I12" s="104">
        <v>27</v>
      </c>
      <c r="J12" s="96">
        <f>'2-CR équilibre'!J11-('2-CR équilibre'!J11*10%)</f>
        <v>1296</v>
      </c>
      <c r="K12" s="61">
        <f>(J12*I12)</f>
        <v>34992</v>
      </c>
      <c r="L12" s="97">
        <f>'2-CR équilibre'!L11</f>
        <v>7.0000000000000007E-2</v>
      </c>
      <c r="M12" s="61">
        <f>K12+(K12*L12)</f>
        <v>37441.440000000002</v>
      </c>
      <c r="N12" s="96">
        <f t="shared" si="0"/>
        <v>34992</v>
      </c>
      <c r="O12" s="29"/>
    </row>
    <row r="13" spans="1:15" x14ac:dyDescent="0.2">
      <c r="A13" s="24" t="str">
        <f>'2-CR équilibre'!A12</f>
        <v>Autres charges externes</v>
      </c>
      <c r="B13" s="25">
        <f>+B46</f>
        <v>44329.599999999999</v>
      </c>
      <c r="C13" s="25">
        <f>+C46</f>
        <v>68588.110459999996</v>
      </c>
      <c r="D13" s="25">
        <f>+D46</f>
        <v>83016.221212999997</v>
      </c>
      <c r="E13" s="8"/>
      <c r="F13" s="8"/>
      <c r="G13" s="8"/>
      <c r="H13" s="26" t="s">
        <v>44</v>
      </c>
      <c r="I13" s="104">
        <v>8</v>
      </c>
      <c r="J13" s="96">
        <f>'2-CR équilibre'!J12-('2-CR équilibre'!J12*10%)</f>
        <v>5616</v>
      </c>
      <c r="K13" s="61">
        <f>(J13*I13)</f>
        <v>44928</v>
      </c>
      <c r="L13" s="97">
        <f>'2-CR équilibre'!L12</f>
        <v>7.0000000000000007E-2</v>
      </c>
      <c r="M13" s="61">
        <f>K13+(K13*L13)</f>
        <v>48072.959999999999</v>
      </c>
      <c r="N13" s="96">
        <f t="shared" si="0"/>
        <v>44928</v>
      </c>
    </row>
    <row r="14" spans="1:15" x14ac:dyDescent="0.2">
      <c r="A14" s="24" t="str">
        <f>'2-CR équilibre'!A13</f>
        <v>Impôts et taxes</v>
      </c>
      <c r="B14" s="25">
        <f>'2-CR équilibre'!B13</f>
        <v>3000</v>
      </c>
      <c r="C14" s="25">
        <f>'2-CR équilibre'!C13</f>
        <v>4000</v>
      </c>
      <c r="D14" s="25">
        <f>'2-CR équilibre'!D13</f>
        <v>5000</v>
      </c>
      <c r="E14" s="8"/>
      <c r="F14" s="8"/>
      <c r="G14" s="8"/>
      <c r="H14" s="26" t="s">
        <v>43</v>
      </c>
      <c r="I14" s="105">
        <v>9</v>
      </c>
      <c r="J14" s="96">
        <f>'2-CR équilibre'!J13-('2-CR équilibre'!J13*10%)</f>
        <v>936</v>
      </c>
      <c r="K14" s="61">
        <f>(J14*I14)</f>
        <v>8424</v>
      </c>
      <c r="L14" s="97">
        <f>'2-CR équilibre'!L13</f>
        <v>7.0000000000000007E-2</v>
      </c>
      <c r="M14" s="61">
        <f>K14+(K14*L14)</f>
        <v>9013.68</v>
      </c>
      <c r="N14" s="96">
        <f t="shared" si="0"/>
        <v>8424</v>
      </c>
    </row>
    <row r="15" spans="1:15" ht="13.5" thickBot="1" x14ac:dyDescent="0.25">
      <c r="A15" s="24" t="str">
        <f>'2-CR équilibre'!A14</f>
        <v>Intérêt emprunts</v>
      </c>
      <c r="B15" s="25">
        <f>'2-CR équilibre'!B14</f>
        <v>1842</v>
      </c>
      <c r="C15" s="25">
        <f>'2-CR équilibre'!C14</f>
        <v>1561</v>
      </c>
      <c r="D15" s="25">
        <f>'2-CR équilibre'!D14</f>
        <v>1279</v>
      </c>
      <c r="E15" s="8"/>
      <c r="F15" s="8"/>
      <c r="G15" s="8"/>
      <c r="H15" s="37" t="s">
        <v>15</v>
      </c>
      <c r="I15" s="65"/>
      <c r="J15" s="65"/>
      <c r="K15" s="65"/>
      <c r="L15" s="66"/>
      <c r="M15" s="67">
        <f>SUM(M10:M14)</f>
        <v>150998.39999999999</v>
      </c>
      <c r="N15" s="96">
        <f t="shared" si="0"/>
        <v>141120</v>
      </c>
    </row>
    <row r="16" spans="1:15" s="32" customFormat="1" x14ac:dyDescent="0.2">
      <c r="A16" s="24" t="str">
        <f>'2-CR équilibre'!A15</f>
        <v>Capital emprunt</v>
      </c>
      <c r="B16" s="91">
        <f>'2-CR équilibre'!B15</f>
        <v>0</v>
      </c>
      <c r="C16" s="91">
        <f>'2-CR équilibre'!C15</f>
        <v>0</v>
      </c>
      <c r="D16" s="91">
        <f>'2-CR équilibre'!D15</f>
        <v>0</v>
      </c>
      <c r="E16" s="8"/>
      <c r="F16" s="8"/>
      <c r="G16" s="8"/>
      <c r="H16" s="5"/>
      <c r="I16" s="5"/>
      <c r="J16" s="100"/>
    </row>
    <row r="17" spans="1:10" ht="15.75" x14ac:dyDescent="0.25">
      <c r="A17" s="92" t="str">
        <f>'2-CR équilibre'!A16</f>
        <v>Reste à vivre</v>
      </c>
      <c r="B17" s="70">
        <f>-SUM(B13:B16)+B12</f>
        <v>-10471.599999999999</v>
      </c>
      <c r="C17" s="70">
        <f>-SUM(C13:C16)+C12</f>
        <v>33927.241540000017</v>
      </c>
      <c r="D17" s="70">
        <f>-SUM(D13:D16)+D12</f>
        <v>54978.124387000062</v>
      </c>
      <c r="E17" s="41"/>
      <c r="F17" s="41"/>
      <c r="G17" s="8"/>
    </row>
    <row r="18" spans="1:10" ht="21.75" customHeight="1" x14ac:dyDescent="0.2">
      <c r="A18" s="92" t="str">
        <f>'2-CR équilibre'!A17</f>
        <v>Soit par mois</v>
      </c>
      <c r="B18" s="71">
        <f>B17/12</f>
        <v>-872.63333333333321</v>
      </c>
      <c r="C18" s="71">
        <f>C17/12</f>
        <v>2827.2701283333349</v>
      </c>
      <c r="D18" s="71">
        <f>D17/12</f>
        <v>4581.5103655833382</v>
      </c>
      <c r="E18" s="41"/>
      <c r="F18" s="41"/>
      <c r="G18" s="12"/>
      <c r="H18" s="32"/>
      <c r="I18" s="32"/>
      <c r="J18" s="103"/>
    </row>
    <row r="19" spans="1:10" x14ac:dyDescent="0.2">
      <c r="A19" s="24" t="s">
        <v>16</v>
      </c>
      <c r="B19" s="99">
        <f>+B20*0.5</f>
        <v>5700</v>
      </c>
      <c r="C19" s="99">
        <f>+C20*0.5</f>
        <v>9000</v>
      </c>
      <c r="D19" s="99">
        <f>+D20*0.5</f>
        <v>12500</v>
      </c>
      <c r="E19" s="12"/>
      <c r="F19" s="12"/>
      <c r="G19" s="8"/>
    </row>
    <row r="20" spans="1:10" x14ac:dyDescent="0.2">
      <c r="A20" s="45" t="str">
        <f>'2-CR équilibre'!A19</f>
        <v>Prélèvement exploitant/AN</v>
      </c>
      <c r="B20" s="72">
        <f>+'2-CR équilibre'!B19</f>
        <v>11400</v>
      </c>
      <c r="C20" s="72">
        <f>+'2-CR équilibre'!C19</f>
        <v>18000</v>
      </c>
      <c r="D20" s="72">
        <f>+'2-CR équilibre'!D19</f>
        <v>25000</v>
      </c>
      <c r="E20" s="8"/>
      <c r="F20" s="8"/>
      <c r="G20" s="8"/>
    </row>
    <row r="21" spans="1:10" ht="22.5" customHeight="1" x14ac:dyDescent="0.25">
      <c r="A21" s="40" t="str">
        <f>'2-CR équilibre'!A20</f>
        <v>Soit revenu mensuel</v>
      </c>
      <c r="B21" s="73">
        <f>B20/12</f>
        <v>950</v>
      </c>
      <c r="C21" s="73">
        <f>C20/12</f>
        <v>1500</v>
      </c>
      <c r="D21" s="74">
        <f>D20/12</f>
        <v>2083.3333333333335</v>
      </c>
      <c r="E21" s="8"/>
      <c r="F21" s="8"/>
      <c r="G21" s="8"/>
    </row>
    <row r="22" spans="1:10" ht="21" thickBot="1" x14ac:dyDescent="0.35">
      <c r="A22" s="93" t="s">
        <v>64</v>
      </c>
      <c r="B22" s="75">
        <f>+B12-B13-B14-B15-B20-B19</f>
        <v>-27571.599999999999</v>
      </c>
      <c r="C22" s="75">
        <f>+C12-C13-C14-C15-C20-C19</f>
        <v>6927.2415400000173</v>
      </c>
      <c r="D22" s="75">
        <f>+D12-D13-D14-D15-D20-D19</f>
        <v>17478.124387000062</v>
      </c>
      <c r="E22" s="8"/>
      <c r="F22" s="8"/>
      <c r="G22" s="8"/>
    </row>
    <row r="23" spans="1:10" ht="16.5" thickBot="1" x14ac:dyDescent="0.3">
      <c r="A23" s="47" t="s">
        <v>65</v>
      </c>
      <c r="B23" s="75"/>
      <c r="C23" s="75">
        <f>+B22+C22</f>
        <v>-20644.358459999981</v>
      </c>
      <c r="D23" s="75">
        <f>+C23+D22</f>
        <v>-3166.2340729999196</v>
      </c>
      <c r="E23" s="8"/>
      <c r="F23" s="8"/>
      <c r="G23" s="8"/>
    </row>
    <row r="24" spans="1:10" x14ac:dyDescent="0.2">
      <c r="A24" s="12"/>
      <c r="B24" s="78"/>
      <c r="C24" s="78"/>
      <c r="D24" s="78"/>
      <c r="E24" s="8"/>
      <c r="F24" s="8"/>
      <c r="G24" s="8"/>
    </row>
    <row r="25" spans="1:10" x14ac:dyDescent="0.2">
      <c r="A25" s="12" t="s">
        <v>23</v>
      </c>
      <c r="B25" s="78"/>
      <c r="C25" s="78"/>
      <c r="D25" s="78"/>
      <c r="E25" s="8"/>
      <c r="F25" s="8"/>
      <c r="G25" s="8"/>
    </row>
    <row r="26" spans="1:10" x14ac:dyDescent="0.2">
      <c r="A26" s="12"/>
      <c r="B26" s="79" t="s">
        <v>1</v>
      </c>
      <c r="C26" s="80" t="s">
        <v>2</v>
      </c>
      <c r="D26" s="81" t="s">
        <v>3</v>
      </c>
      <c r="E26" s="8"/>
      <c r="F26" s="8"/>
      <c r="G26" s="8"/>
    </row>
    <row r="27" spans="1:10" x14ac:dyDescent="0.2">
      <c r="A27" s="8"/>
      <c r="B27" s="82" t="s">
        <v>4</v>
      </c>
      <c r="C27" s="83" t="s">
        <v>4</v>
      </c>
      <c r="D27" s="83" t="s">
        <v>4</v>
      </c>
      <c r="E27" s="8"/>
      <c r="F27" s="8"/>
      <c r="G27" s="52"/>
      <c r="H27" s="94"/>
    </row>
    <row r="28" spans="1:10" x14ac:dyDescent="0.2">
      <c r="A28" s="54" t="str">
        <f>'2-CR équilibre'!A27</f>
        <v>Energie</v>
      </c>
      <c r="B28" s="55">
        <f>'2-CR équilibre'!B27</f>
        <v>240</v>
      </c>
      <c r="C28" s="55">
        <f>'2-CR équilibre'!C27</f>
        <v>252</v>
      </c>
      <c r="D28" s="55">
        <f>'2-CR équilibre'!D27</f>
        <v>265</v>
      </c>
      <c r="E28" s="8"/>
      <c r="F28" s="8"/>
      <c r="G28" s="8"/>
    </row>
    <row r="29" spans="1:10" x14ac:dyDescent="0.2">
      <c r="A29" s="24" t="str">
        <f>'2-CR équilibre'!A28</f>
        <v>Produit entretien</v>
      </c>
      <c r="B29" s="56">
        <f>'2-CR équilibre'!B28</f>
        <v>50</v>
      </c>
      <c r="C29" s="56">
        <f>'2-CR équilibre'!C28</f>
        <v>102</v>
      </c>
      <c r="D29" s="56">
        <f>'2-CR équilibre'!D28</f>
        <v>100</v>
      </c>
      <c r="E29" s="8"/>
      <c r="F29" s="8"/>
      <c r="G29" s="8"/>
    </row>
    <row r="30" spans="1:10" x14ac:dyDescent="0.2">
      <c r="A30" s="24" t="str">
        <f>'2-CR équilibre'!A29</f>
        <v>Fournitures diverses</v>
      </c>
      <c r="B30" s="56">
        <f>'2-CR équilibre'!B29</f>
        <v>500</v>
      </c>
      <c r="C30" s="56">
        <f>'2-CR équilibre'!C29</f>
        <v>525</v>
      </c>
      <c r="D30" s="56">
        <f>'2-CR équilibre'!D29</f>
        <v>551</v>
      </c>
      <c r="E30" s="8"/>
      <c r="F30" s="8"/>
      <c r="G30" s="8"/>
    </row>
    <row r="31" spans="1:10" x14ac:dyDescent="0.2">
      <c r="A31" s="24" t="str">
        <f>'2-CR équilibre'!A30</f>
        <v>Assurances</v>
      </c>
      <c r="B31" s="56">
        <f>'2-CR équilibre'!B30</f>
        <v>392.10400000000004</v>
      </c>
      <c r="C31" s="56">
        <f>'2-CR équilibre'!C30</f>
        <v>834.04441840000004</v>
      </c>
      <c r="D31" s="56">
        <f>'2-CR équilibre'!D30</f>
        <v>1292.7688485200001</v>
      </c>
      <c r="E31" s="8"/>
      <c r="F31" s="8"/>
      <c r="G31" s="8"/>
    </row>
    <row r="32" spans="1:10" x14ac:dyDescent="0.2">
      <c r="A32" s="24" t="str">
        <f>'2-CR équilibre'!A31</f>
        <v>Honoraires</v>
      </c>
      <c r="B32" s="56">
        <f>'2-CR équilibre'!B31</f>
        <v>2500</v>
      </c>
      <c r="C32" s="56">
        <f>'2-CR équilibre'!C31</f>
        <v>2500</v>
      </c>
      <c r="D32" s="56">
        <f>'2-CR équilibre'!D31</f>
        <v>2500</v>
      </c>
      <c r="E32" s="8"/>
      <c r="F32" s="8"/>
      <c r="G32" s="8"/>
    </row>
    <row r="33" spans="1:7" x14ac:dyDescent="0.2">
      <c r="A33" s="24" t="str">
        <f>'2-CR équilibre'!A32</f>
        <v>Téléphone</v>
      </c>
      <c r="B33" s="56">
        <f>'2-CR équilibre'!B32</f>
        <v>0</v>
      </c>
      <c r="C33" s="56">
        <f>'2-CR équilibre'!C32</f>
        <v>0</v>
      </c>
      <c r="D33" s="56">
        <f>'2-CR équilibre'!D32</f>
        <v>0</v>
      </c>
      <c r="E33" s="8"/>
      <c r="F33" s="8"/>
      <c r="G33" s="8"/>
    </row>
    <row r="34" spans="1:7" x14ac:dyDescent="0.2">
      <c r="A34" s="24" t="str">
        <f>'2-CR équilibre'!A33</f>
        <v>Loyer</v>
      </c>
      <c r="B34" s="56">
        <f>'2-CR équilibre'!B33</f>
        <v>6900</v>
      </c>
      <c r="C34" s="56">
        <f>'2-CR équilibre'!C33</f>
        <v>6900</v>
      </c>
      <c r="D34" s="56">
        <f>'2-CR équilibre'!D33</f>
        <v>6900</v>
      </c>
      <c r="E34" s="8"/>
      <c r="F34" s="8"/>
      <c r="G34" s="8"/>
    </row>
    <row r="35" spans="1:7" x14ac:dyDescent="0.2">
      <c r="A35" s="57" t="str">
        <f>'2-CR équilibre'!A34</f>
        <v>Leasing véhicule</v>
      </c>
      <c r="B35" s="56">
        <f>'2-CR équilibre'!B34</f>
        <v>7767</v>
      </c>
      <c r="C35" s="56">
        <f>'2-CR équilibre'!C34</f>
        <v>14600</v>
      </c>
      <c r="D35" s="56">
        <f>'2-CR équilibre'!D34</f>
        <v>14600</v>
      </c>
      <c r="E35" s="8"/>
      <c r="F35" s="8"/>
      <c r="G35" s="8"/>
    </row>
    <row r="36" spans="1:7" x14ac:dyDescent="0.2">
      <c r="A36" s="24" t="str">
        <f>'2-CR équilibre'!A35</f>
        <v>Publicité</v>
      </c>
      <c r="B36" s="56">
        <f>'2-CR équilibre'!B35</f>
        <v>5000</v>
      </c>
      <c r="C36" s="56">
        <f>'2-CR équilibre'!C35</f>
        <v>3000</v>
      </c>
      <c r="D36" s="56">
        <f>'2-CR équilibre'!D35</f>
        <v>2000</v>
      </c>
      <c r="E36" s="8"/>
      <c r="F36" s="8"/>
      <c r="G36" s="8"/>
    </row>
    <row r="37" spans="1:7" x14ac:dyDescent="0.2">
      <c r="A37" s="24" t="str">
        <f>'2-CR équilibre'!A36</f>
        <v>Services bancaires</v>
      </c>
      <c r="B37" s="56">
        <f>'2-CR équilibre'!B36</f>
        <v>950</v>
      </c>
      <c r="C37" s="56">
        <f>'2-CR équilibre'!C36</f>
        <v>1938</v>
      </c>
      <c r="D37" s="56">
        <f>'2-CR équilibre'!D36</f>
        <v>2500</v>
      </c>
      <c r="E37" s="8"/>
      <c r="F37" s="8"/>
      <c r="G37" s="8"/>
    </row>
    <row r="38" spans="1:7" x14ac:dyDescent="0.2">
      <c r="A38" s="57" t="str">
        <f>'2-CR équilibre'!A37</f>
        <v>Carburant</v>
      </c>
      <c r="B38" s="56">
        <f>'2-CR équilibre'!B37</f>
        <v>4050</v>
      </c>
      <c r="C38" s="56">
        <f>'2-CR équilibre'!C37</f>
        <v>7500</v>
      </c>
      <c r="D38" s="56">
        <f>'2-CR équilibre'!D37</f>
        <v>7800</v>
      </c>
      <c r="E38" s="8"/>
      <c r="F38" s="8"/>
      <c r="G38" s="8"/>
    </row>
    <row r="39" spans="1:7" x14ac:dyDescent="0.2">
      <c r="A39" s="57" t="str">
        <f>'2-CR équilibre'!A38</f>
        <v>Entretien véhicules</v>
      </c>
      <c r="B39" s="56">
        <f>'2-CR équilibre'!B38</f>
        <v>2070</v>
      </c>
      <c r="C39" s="56">
        <f>'2-CR équilibre'!C38</f>
        <v>4500</v>
      </c>
      <c r="D39" s="56">
        <f>'2-CR équilibre'!D38</f>
        <v>5800</v>
      </c>
      <c r="E39" s="8"/>
      <c r="F39" s="8"/>
      <c r="G39" s="8"/>
    </row>
    <row r="40" spans="1:7" x14ac:dyDescent="0.2">
      <c r="A40" s="57" t="str">
        <f>'2-CR équilibre'!A39</f>
        <v>Frais déplacement</v>
      </c>
      <c r="B40" s="56">
        <f>'2-CR équilibre'!B39</f>
        <v>500</v>
      </c>
      <c r="C40" s="56">
        <f>'2-CR équilibre'!C39</f>
        <v>1020</v>
      </c>
      <c r="D40" s="56">
        <f>'2-CR équilibre'!D39</f>
        <v>1581</v>
      </c>
      <c r="E40" s="8"/>
      <c r="F40" s="8"/>
      <c r="G40" s="8"/>
    </row>
    <row r="41" spans="1:7" x14ac:dyDescent="0.2">
      <c r="A41" s="57" t="str">
        <f>'2-CR équilibre'!A40</f>
        <v>Frais formation</v>
      </c>
      <c r="B41" s="56">
        <f>'2-CR équilibre'!B40</f>
        <v>2000</v>
      </c>
      <c r="C41" s="56">
        <f>'2-CR équilibre'!C40</f>
        <v>2000</v>
      </c>
      <c r="D41" s="56">
        <f>'2-CR équilibre'!D40</f>
        <v>2000</v>
      </c>
      <c r="E41" s="8"/>
      <c r="F41" s="8"/>
      <c r="G41" s="8"/>
    </row>
    <row r="42" spans="1:7" x14ac:dyDescent="0.2">
      <c r="A42" s="57" t="str">
        <f>'2-CR équilibre'!A41</f>
        <v>Redevance franchise 1% du CA</v>
      </c>
      <c r="B42" s="56">
        <f>'2-CR équilibre'!B41</f>
        <v>1568.4160000000002</v>
      </c>
      <c r="C42" s="56">
        <f>'2-CR équilibre'!C41</f>
        <v>3336.1776736000002</v>
      </c>
      <c r="D42" s="56">
        <f>'2-CR équilibre'!D41</f>
        <v>5171.0753940800005</v>
      </c>
      <c r="E42" s="8"/>
      <c r="F42" s="8"/>
    </row>
    <row r="43" spans="1:7" x14ac:dyDescent="0.2">
      <c r="A43" s="57" t="str">
        <f>'2-CR équilibre'!A42</f>
        <v>Redevance franchise 5% du CA</v>
      </c>
      <c r="B43" s="56">
        <f>'2-CR équilibre'!B42</f>
        <v>7842.0800000000008</v>
      </c>
      <c r="C43" s="56">
        <f>'2-CR équilibre'!C42</f>
        <v>16680.888368</v>
      </c>
      <c r="D43" s="56">
        <f>'2-CR équilibre'!D42</f>
        <v>25855.376970400001</v>
      </c>
    </row>
    <row r="44" spans="1:7" x14ac:dyDescent="0.2">
      <c r="A44" s="24" t="str">
        <f>'2-CR équilibre'!A43</f>
        <v>Affranchissements</v>
      </c>
      <c r="B44" s="56">
        <f>'2-CR équilibre'!B43</f>
        <v>2000</v>
      </c>
      <c r="C44" s="56">
        <f>'2-CR équilibre'!C43</f>
        <v>2900</v>
      </c>
      <c r="D44" s="56">
        <f>'2-CR équilibre'!D43</f>
        <v>4100</v>
      </c>
    </row>
    <row r="45" spans="1:7" x14ac:dyDescent="0.2">
      <c r="A45" s="24" t="str">
        <f>'2-CR équilibre'!A44</f>
        <v>Petit matériel</v>
      </c>
      <c r="B45" s="56">
        <f>'2-CR équilibre'!B44</f>
        <v>0</v>
      </c>
      <c r="C45" s="56">
        <f>'2-CR équilibre'!C44</f>
        <v>0</v>
      </c>
      <c r="D45" s="56">
        <f>'2-CR équilibre'!D44</f>
        <v>0</v>
      </c>
    </row>
    <row r="46" spans="1:7" x14ac:dyDescent="0.2">
      <c r="A46" s="58" t="s">
        <v>35</v>
      </c>
      <c r="B46" s="84">
        <f>SUM(B28:B45)</f>
        <v>44329.599999999999</v>
      </c>
      <c r="C46" s="84">
        <f>SUM(C28:C45)</f>
        <v>68588.110459999996</v>
      </c>
      <c r="D46" s="84">
        <f>SUM(D28:D45)</f>
        <v>83016.221212999997</v>
      </c>
    </row>
  </sheetData>
  <sheetProtection sheet="1"/>
  <mergeCells count="4">
    <mergeCell ref="A1:N1"/>
    <mergeCell ref="A2:N2"/>
    <mergeCell ref="A3:N3"/>
    <mergeCell ref="H8:N8"/>
  </mergeCells>
  <phoneticPr fontId="2" type="noConversion"/>
  <conditionalFormatting sqref="B22:D22">
    <cfRule type="cellIs" dxfId="29" priority="4" stopIfTrue="1" operator="lessThan">
      <formula>0</formula>
    </cfRule>
    <cfRule type="cellIs" dxfId="28" priority="5" stopIfTrue="1" operator="lessThan">
      <formula>0</formula>
    </cfRule>
    <cfRule type="cellIs" dxfId="27" priority="6" stopIfTrue="1" operator="lessThan">
      <formula>0</formula>
    </cfRule>
  </conditionalFormatting>
  <conditionalFormatting sqref="B23:D23">
    <cfRule type="cellIs" dxfId="26" priority="1" stopIfTrue="1" operator="lessThan">
      <formula>0</formula>
    </cfRule>
    <cfRule type="cellIs" dxfId="25" priority="2" stopIfTrue="1" operator="lessThan">
      <formula>0</formula>
    </cfRule>
    <cfRule type="cellIs" dxfId="24" priority="3" stopIfTrue="1" operator="lessThan">
      <formula>0</formula>
    </cfRule>
  </conditionalFormatting>
  <pageMargins left="0.39370078740157483" right="0.39370078740157483" top="0.39370078740157483" bottom="0.39370078740157483" header="0.51181102362204722" footer="0.51181102362204722"/>
  <pageSetup paperSize="9" scale="70" orientation="landscape"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O47"/>
  <sheetViews>
    <sheetView topLeftCell="A21" zoomScale="75" zoomScaleNormal="75" zoomScalePageLayoutView="75" workbookViewId="0">
      <selection activeCell="B47" sqref="B47:D47"/>
    </sheetView>
  </sheetViews>
  <sheetFormatPr baseColWidth="10" defaultColWidth="11.42578125" defaultRowHeight="12.75" x14ac:dyDescent="0.2"/>
  <cols>
    <col min="1" max="1" width="33" style="5" customWidth="1"/>
    <col min="2" max="2" width="14.7109375" style="5" bestFit="1" customWidth="1"/>
    <col min="3" max="4" width="16.42578125" style="5" bestFit="1" customWidth="1"/>
    <col min="5" max="6" width="9.7109375" style="5" customWidth="1"/>
    <col min="7" max="7" width="7.7109375" style="5" customWidth="1"/>
    <col min="8" max="8" width="18.42578125" style="60" customWidth="1"/>
    <col min="9" max="9" width="8.85546875" style="60" customWidth="1"/>
    <col min="10" max="10" width="17.85546875" style="60" customWidth="1"/>
    <col min="11" max="11" width="12.7109375" style="60" customWidth="1"/>
    <col min="12" max="12" width="9.28515625" style="60" customWidth="1"/>
    <col min="13" max="13" width="12.7109375" style="60" customWidth="1"/>
    <col min="14" max="14" width="15.28515625" style="60" customWidth="1"/>
    <col min="15" max="15" width="8.42578125" style="60" customWidth="1"/>
    <col min="16" max="16384" width="11.42578125" style="5"/>
  </cols>
  <sheetData>
    <row r="1" spans="1:15" ht="27" customHeight="1" x14ac:dyDescent="0.2">
      <c r="A1" s="160" t="s">
        <v>77</v>
      </c>
      <c r="B1" s="160"/>
      <c r="C1" s="160"/>
      <c r="D1" s="160"/>
      <c r="E1" s="160"/>
      <c r="F1" s="160"/>
      <c r="G1" s="160"/>
      <c r="H1" s="160"/>
      <c r="I1" s="160"/>
      <c r="J1" s="160"/>
      <c r="K1" s="160"/>
      <c r="L1" s="160"/>
      <c r="M1" s="160"/>
      <c r="N1" s="160"/>
    </row>
    <row r="2" spans="1:15" ht="15.75" x14ac:dyDescent="0.25">
      <c r="A2" s="164" t="s">
        <v>97</v>
      </c>
      <c r="B2" s="164"/>
      <c r="C2" s="164"/>
      <c r="D2" s="164"/>
      <c r="E2" s="164"/>
      <c r="F2" s="164"/>
      <c r="G2" s="164"/>
      <c r="H2" s="164"/>
      <c r="I2" s="164"/>
      <c r="J2" s="164"/>
      <c r="K2" s="164"/>
      <c r="L2" s="164"/>
      <c r="M2" s="164"/>
      <c r="N2" s="164"/>
    </row>
    <row r="3" spans="1:15" ht="15" x14ac:dyDescent="0.2">
      <c r="A3" s="164" t="s">
        <v>87</v>
      </c>
      <c r="B3" s="164"/>
      <c r="C3" s="164"/>
      <c r="D3" s="164"/>
      <c r="E3" s="164"/>
      <c r="F3" s="164"/>
      <c r="G3" s="164"/>
      <c r="H3" s="164"/>
      <c r="I3" s="164"/>
      <c r="J3" s="164"/>
      <c r="K3" s="164"/>
      <c r="L3" s="164"/>
      <c r="M3" s="164"/>
      <c r="N3" s="164"/>
    </row>
    <row r="4" spans="1:15" ht="15" x14ac:dyDescent="0.2">
      <c r="A4" s="164" t="s">
        <v>88</v>
      </c>
      <c r="B4" s="164"/>
      <c r="C4" s="164"/>
      <c r="D4" s="164"/>
      <c r="E4" s="164"/>
      <c r="F4" s="164"/>
      <c r="G4" s="164"/>
      <c r="H4" s="164"/>
      <c r="I4" s="164"/>
      <c r="J4" s="164"/>
      <c r="K4" s="164"/>
      <c r="L4" s="164"/>
      <c r="M4" s="164"/>
      <c r="N4" s="164"/>
    </row>
    <row r="5" spans="1:15" ht="15" x14ac:dyDescent="0.2">
      <c r="A5" s="85"/>
      <c r="B5" s="85"/>
      <c r="C5" s="85"/>
      <c r="D5" s="85"/>
      <c r="E5" s="85"/>
      <c r="F5" s="85"/>
      <c r="G5" s="85"/>
      <c r="H5" s="85"/>
      <c r="I5" s="85"/>
      <c r="J5" s="85"/>
      <c r="K5" s="85"/>
      <c r="L5" s="85"/>
      <c r="M5" s="85"/>
      <c r="N5" s="85"/>
    </row>
    <row r="6" spans="1:15" x14ac:dyDescent="0.2">
      <c r="A6" s="12"/>
      <c r="B6" s="8"/>
      <c r="C6" s="8"/>
      <c r="D6" s="8"/>
      <c r="E6" s="8" t="s">
        <v>0</v>
      </c>
      <c r="F6" s="8"/>
      <c r="G6" s="11">
        <v>0.35</v>
      </c>
    </row>
    <row r="7" spans="1:15" x14ac:dyDescent="0.2">
      <c r="A7" s="8"/>
      <c r="B7" s="8"/>
      <c r="C7" s="8"/>
      <c r="D7" s="8"/>
      <c r="E7" s="8"/>
      <c r="F7" s="8"/>
      <c r="G7" s="8"/>
    </row>
    <row r="8" spans="1:15" ht="13.5" thickBot="1" x14ac:dyDescent="0.25">
      <c r="A8" s="12"/>
      <c r="B8" s="13" t="s">
        <v>1</v>
      </c>
      <c r="C8" s="13" t="s">
        <v>2</v>
      </c>
      <c r="D8" s="14" t="s">
        <v>3</v>
      </c>
      <c r="E8" s="8"/>
      <c r="F8" s="8"/>
      <c r="G8" s="8"/>
    </row>
    <row r="9" spans="1:15" ht="12.75" customHeight="1" x14ac:dyDescent="0.2">
      <c r="A9" s="8"/>
      <c r="B9" s="15" t="s">
        <v>4</v>
      </c>
      <c r="C9" s="15" t="s">
        <v>4</v>
      </c>
      <c r="D9" s="15" t="s">
        <v>4</v>
      </c>
      <c r="E9" s="8"/>
      <c r="F9" s="8"/>
      <c r="G9" s="8"/>
      <c r="H9" s="153" t="s">
        <v>5</v>
      </c>
      <c r="I9" s="154"/>
      <c r="J9" s="154"/>
      <c r="K9" s="154"/>
      <c r="L9" s="154"/>
      <c r="M9" s="154"/>
      <c r="N9" s="155"/>
    </row>
    <row r="10" spans="1:15" ht="39" x14ac:dyDescent="0.25">
      <c r="A10" s="16" t="s">
        <v>6</v>
      </c>
      <c r="B10" s="69">
        <f>N16</f>
        <v>156841.59999999998</v>
      </c>
      <c r="C10" s="69">
        <f>B10*2.1271</f>
        <v>333617.76735999994</v>
      </c>
      <c r="D10" s="69">
        <f>C10*1.55</f>
        <v>517107.5394079999</v>
      </c>
      <c r="E10" s="19">
        <f>C10/B10</f>
        <v>2.1271</v>
      </c>
      <c r="F10" s="19">
        <f>D10/C10</f>
        <v>1.55</v>
      </c>
      <c r="G10" s="19"/>
      <c r="H10" s="20" t="s">
        <v>36</v>
      </c>
      <c r="I10" s="21" t="s">
        <v>42</v>
      </c>
      <c r="J10" s="21" t="s">
        <v>45</v>
      </c>
      <c r="K10" s="21" t="s">
        <v>38</v>
      </c>
      <c r="L10" s="21" t="s">
        <v>40</v>
      </c>
      <c r="M10" s="107" t="s">
        <v>7</v>
      </c>
      <c r="N10" s="108" t="s">
        <v>8</v>
      </c>
    </row>
    <row r="11" spans="1:15" ht="26.25" thickBot="1" x14ac:dyDescent="0.25">
      <c r="A11" s="24" t="s">
        <v>10</v>
      </c>
      <c r="B11" s="89">
        <f>'2-CR équilibre'!B9</f>
        <v>18000</v>
      </c>
      <c r="C11" s="89">
        <f>'2-CR équilibre'!C9</f>
        <v>22000</v>
      </c>
      <c r="D11" s="89">
        <f>'2-CR équilibre'!D9</f>
        <v>42000</v>
      </c>
      <c r="E11" s="19">
        <f>C11/B11</f>
        <v>1.2222222222222223</v>
      </c>
      <c r="F11" s="19">
        <f>D11/C11</f>
        <v>1.9090909090909092</v>
      </c>
      <c r="G11" s="19"/>
      <c r="H11" s="26" t="s">
        <v>37</v>
      </c>
      <c r="I11" s="89">
        <f>'2-CR équilibre'!I9</f>
        <v>21</v>
      </c>
      <c r="J11" s="89">
        <f>'2-CR équilibre'!J9</f>
        <v>2080</v>
      </c>
      <c r="K11" s="61">
        <f>(J11*I11)</f>
        <v>43680</v>
      </c>
      <c r="L11" s="97">
        <f>'2-CR équilibre'!L9</f>
        <v>7.0000000000000007E-2</v>
      </c>
      <c r="M11" s="61">
        <f>K11+(K11*L11)</f>
        <v>46737.599999999999</v>
      </c>
      <c r="N11" s="61">
        <f t="shared" ref="N11:N16" si="0">M11/1.07</f>
        <v>43679.999999999993</v>
      </c>
      <c r="O11" s="109"/>
    </row>
    <row r="12" spans="1:15" s="32" customFormat="1" ht="18.75" thickBot="1" x14ac:dyDescent="0.3">
      <c r="A12" s="24" t="s">
        <v>14</v>
      </c>
      <c r="B12" s="25">
        <f>+'2-CR équilibre'!B10</f>
        <v>93800</v>
      </c>
      <c r="C12" s="110">
        <f>+'2-CR équilibre'!C10*1.03</f>
        <v>194670</v>
      </c>
      <c r="D12" s="110">
        <f>+'2-CR équilibre'!D10*1.03</f>
        <v>319300</v>
      </c>
      <c r="E12" s="19"/>
      <c r="F12" s="19"/>
      <c r="G12" s="12"/>
      <c r="H12" s="26" t="s">
        <v>39</v>
      </c>
      <c r="I12" s="90">
        <f>'2-CR équilibre'!I10</f>
        <v>28</v>
      </c>
      <c r="J12" s="90">
        <f>'2-CR équilibre'!J10</f>
        <v>460</v>
      </c>
      <c r="K12" s="61">
        <f>(J12*I12)</f>
        <v>12880</v>
      </c>
      <c r="L12" s="97">
        <f>'2-CR équilibre'!L10</f>
        <v>7.0000000000000007E-2</v>
      </c>
      <c r="M12" s="61">
        <f>K12+(K12*L12)</f>
        <v>13781.6</v>
      </c>
      <c r="N12" s="61">
        <f t="shared" si="0"/>
        <v>12880</v>
      </c>
      <c r="O12" s="109"/>
    </row>
    <row r="13" spans="1:15" ht="37.5" customHeight="1" thickBot="1" x14ac:dyDescent="0.3">
      <c r="A13" s="16" t="s">
        <v>11</v>
      </c>
      <c r="B13" s="69">
        <f>+B10-B11-B12</f>
        <v>45041.599999999977</v>
      </c>
      <c r="C13" s="69">
        <f>+C10-C11-C12</f>
        <v>116947.76735999994</v>
      </c>
      <c r="D13" s="69">
        <f>+D10-D11-D12</f>
        <v>155807.5394079999</v>
      </c>
      <c r="E13" s="111">
        <f>B13/B10</f>
        <v>0.28717891171729937</v>
      </c>
      <c r="F13" s="112">
        <f>C13/C10</f>
        <v>0.35054418200036708</v>
      </c>
      <c r="G13" s="8"/>
      <c r="H13" s="26" t="s">
        <v>41</v>
      </c>
      <c r="I13" s="89">
        <f>'2-CR équilibre'!I11</f>
        <v>27</v>
      </c>
      <c r="J13" s="89">
        <f>'2-CR équilibre'!J11</f>
        <v>1440</v>
      </c>
      <c r="K13" s="61">
        <f>(J13*I13)</f>
        <v>38880</v>
      </c>
      <c r="L13" s="97">
        <f>'2-CR équilibre'!L11</f>
        <v>7.0000000000000007E-2</v>
      </c>
      <c r="M13" s="61">
        <f>K13+(K13*L13)</f>
        <v>41601.599999999999</v>
      </c>
      <c r="N13" s="61">
        <f t="shared" si="0"/>
        <v>38880</v>
      </c>
      <c r="O13" s="109"/>
    </row>
    <row r="14" spans="1:15" ht="25.5" customHeight="1" x14ac:dyDescent="0.2">
      <c r="A14" s="24" t="str">
        <f>'2-CR équilibre'!A12</f>
        <v>Autres charges externes</v>
      </c>
      <c r="B14" s="25">
        <f>+B47</f>
        <v>44329.599999999999</v>
      </c>
      <c r="C14" s="25">
        <f>+C47</f>
        <v>68588.110459999996</v>
      </c>
      <c r="D14" s="25">
        <f>+D47</f>
        <v>83016.221212999997</v>
      </c>
      <c r="E14" s="8"/>
      <c r="F14" s="8"/>
      <c r="G14" s="8"/>
      <c r="H14" s="26" t="s">
        <v>44</v>
      </c>
      <c r="I14" s="89">
        <f>'2-CR équilibre'!I12</f>
        <v>8.34</v>
      </c>
      <c r="J14" s="89">
        <f>'2-CR équilibre'!J12</f>
        <v>6240</v>
      </c>
      <c r="K14" s="61">
        <f>(J14*I14)</f>
        <v>52041.599999999999</v>
      </c>
      <c r="L14" s="97">
        <f>'2-CR équilibre'!L12</f>
        <v>7.0000000000000007E-2</v>
      </c>
      <c r="M14" s="61">
        <f>K14+(K14*L14)</f>
        <v>55684.512000000002</v>
      </c>
      <c r="N14" s="61">
        <f t="shared" si="0"/>
        <v>52041.599999999999</v>
      </c>
      <c r="O14" s="109"/>
    </row>
    <row r="15" spans="1:15" x14ac:dyDescent="0.2">
      <c r="A15" s="24" t="str">
        <f>'2-CR équilibre'!A13</f>
        <v>Impôts et taxes</v>
      </c>
      <c r="B15" s="25">
        <f>'2-CR équilibre'!B13</f>
        <v>3000</v>
      </c>
      <c r="C15" s="25">
        <f>'2-CR équilibre'!C13</f>
        <v>4000</v>
      </c>
      <c r="D15" s="25">
        <f>'2-CR équilibre'!D13</f>
        <v>5000</v>
      </c>
      <c r="E15" s="8"/>
      <c r="F15" s="8"/>
      <c r="G15" s="8"/>
      <c r="H15" s="26" t="s">
        <v>43</v>
      </c>
      <c r="I15" s="89">
        <f>'2-CR équilibre'!I13</f>
        <v>9</v>
      </c>
      <c r="J15" s="89">
        <f>'2-CR équilibre'!J13</f>
        <v>1040</v>
      </c>
      <c r="K15" s="61">
        <f>(J15*I15)</f>
        <v>9360</v>
      </c>
      <c r="L15" s="97">
        <f>'2-CR équilibre'!L13</f>
        <v>7.0000000000000007E-2</v>
      </c>
      <c r="M15" s="61">
        <f>K15+(K15*L15)</f>
        <v>10015.200000000001</v>
      </c>
      <c r="N15" s="61">
        <f t="shared" si="0"/>
        <v>9360</v>
      </c>
      <c r="O15" s="109"/>
    </row>
    <row r="16" spans="1:15" ht="13.5" thickBot="1" x14ac:dyDescent="0.25">
      <c r="A16" s="24" t="str">
        <f>'2-CR équilibre'!A14</f>
        <v>Intérêt emprunts</v>
      </c>
      <c r="B16" s="25">
        <f>'2-CR équilibre'!B14</f>
        <v>1842</v>
      </c>
      <c r="C16" s="25">
        <f>'2-CR équilibre'!C14</f>
        <v>1561</v>
      </c>
      <c r="D16" s="25">
        <f>'2-CR équilibre'!D14</f>
        <v>1279</v>
      </c>
      <c r="E16" s="8"/>
      <c r="F16" s="8"/>
      <c r="G16" s="8"/>
      <c r="H16" s="168" t="s">
        <v>15</v>
      </c>
      <c r="I16" s="169"/>
      <c r="J16" s="169"/>
      <c r="K16" s="169"/>
      <c r="L16" s="170"/>
      <c r="M16" s="67">
        <f>SUM(M11:M15)</f>
        <v>167820.51199999999</v>
      </c>
      <c r="N16" s="68">
        <f t="shared" si="0"/>
        <v>156841.59999999998</v>
      </c>
    </row>
    <row r="17" spans="1:15" x14ac:dyDescent="0.2">
      <c r="A17" s="24" t="str">
        <f>'2-CR équilibre'!A15</f>
        <v>Capital emprunt</v>
      </c>
      <c r="B17" s="91">
        <f>'2-CR équilibre'!B15</f>
        <v>0</v>
      </c>
      <c r="C17" s="91">
        <f>'2-CR équilibre'!C15</f>
        <v>0</v>
      </c>
      <c r="D17" s="91">
        <f>'2-CR équilibre'!D15</f>
        <v>0</v>
      </c>
      <c r="E17" s="8"/>
      <c r="F17" s="8"/>
      <c r="G17" s="8"/>
    </row>
    <row r="18" spans="1:15" ht="15.75" x14ac:dyDescent="0.25">
      <c r="A18" s="92" t="str">
        <f>'2-CR équilibre'!A16</f>
        <v>Reste à vivre</v>
      </c>
      <c r="B18" s="70">
        <f>-SUM(B14:B17)+B13</f>
        <v>-4130.0000000000218</v>
      </c>
      <c r="C18" s="70">
        <f>-SUM(C14:C17)+C13</f>
        <v>42798.656899999944</v>
      </c>
      <c r="D18" s="70">
        <f>-SUM(D14:D17)+D13</f>
        <v>66512.318194999898</v>
      </c>
      <c r="E18" s="41"/>
      <c r="F18" s="41"/>
      <c r="G18" s="8"/>
    </row>
    <row r="19" spans="1:15" s="32" customFormat="1" x14ac:dyDescent="0.2">
      <c r="A19" s="92" t="str">
        <f>'2-CR équilibre'!A17</f>
        <v>Soit par mois</v>
      </c>
      <c r="B19" s="71">
        <f>B18/12</f>
        <v>-344.1666666666685</v>
      </c>
      <c r="C19" s="71">
        <f>C18/12</f>
        <v>3566.5547416666618</v>
      </c>
      <c r="D19" s="71">
        <f>D18/12</f>
        <v>5542.6931829166579</v>
      </c>
      <c r="E19" s="41"/>
      <c r="F19" s="41"/>
      <c r="G19" s="12"/>
      <c r="H19" s="113"/>
      <c r="I19" s="113"/>
      <c r="J19" s="113"/>
      <c r="K19" s="113"/>
      <c r="L19" s="113"/>
      <c r="M19" s="113"/>
      <c r="N19" s="113"/>
      <c r="O19" s="113"/>
    </row>
    <row r="20" spans="1:15" x14ac:dyDescent="0.2">
      <c r="A20" s="24" t="s">
        <v>16</v>
      </c>
      <c r="B20" s="99">
        <f>+B21*0.5</f>
        <v>5700</v>
      </c>
      <c r="C20" s="99">
        <f>+C21*0.5</f>
        <v>9000</v>
      </c>
      <c r="D20" s="99">
        <f>+D21*0.5</f>
        <v>12500</v>
      </c>
      <c r="E20" s="12"/>
      <c r="F20" s="12"/>
      <c r="G20" s="8"/>
    </row>
    <row r="21" spans="1:15" ht="18.75" customHeight="1" x14ac:dyDescent="0.2">
      <c r="A21" s="45" t="str">
        <f>'2-CR équilibre'!A19</f>
        <v>Prélèvement exploitant/AN</v>
      </c>
      <c r="B21" s="72">
        <f>+'2-CR équilibre'!B19</f>
        <v>11400</v>
      </c>
      <c r="C21" s="72">
        <f>+'2-CR équilibre'!C19</f>
        <v>18000</v>
      </c>
      <c r="D21" s="72">
        <f>+'2-CR équilibre'!D19</f>
        <v>25000</v>
      </c>
      <c r="E21" s="8"/>
      <c r="F21" s="8"/>
      <c r="G21" s="8"/>
    </row>
    <row r="22" spans="1:15" ht="15.75" x14ac:dyDescent="0.25">
      <c r="A22" s="40" t="str">
        <f>'2-CR équilibre'!A20</f>
        <v>Soit revenu mensuel</v>
      </c>
      <c r="B22" s="73">
        <f>B21/12</f>
        <v>950</v>
      </c>
      <c r="C22" s="73">
        <f>C21/12</f>
        <v>1500</v>
      </c>
      <c r="D22" s="74">
        <f>D21/12</f>
        <v>2083.3333333333335</v>
      </c>
      <c r="E22" s="8"/>
      <c r="F22" s="8"/>
      <c r="G22" s="8"/>
    </row>
    <row r="23" spans="1:15" ht="21" thickBot="1" x14ac:dyDescent="0.35">
      <c r="A23" s="93" t="s">
        <v>64</v>
      </c>
      <c r="B23" s="75">
        <f>+B13-B14-B15-B16-B21-B20</f>
        <v>-21230.000000000022</v>
      </c>
      <c r="C23" s="75">
        <f>+C13-C14-C15-C16-C21-C20</f>
        <v>15798.656899999944</v>
      </c>
      <c r="D23" s="75">
        <f>+D13-D14-D15-D16-D21-D20</f>
        <v>29012.318194999898</v>
      </c>
      <c r="E23" s="8"/>
      <c r="F23" s="8"/>
      <c r="G23" s="8"/>
    </row>
    <row r="24" spans="1:15" ht="21.75" customHeight="1" thickBot="1" x14ac:dyDescent="0.3">
      <c r="A24" s="47" t="s">
        <v>65</v>
      </c>
      <c r="B24" s="75"/>
      <c r="C24" s="75">
        <f>+B23+C23</f>
        <v>-5431.3431000000783</v>
      </c>
      <c r="D24" s="75">
        <f>+C24+D23</f>
        <v>23580.97509499982</v>
      </c>
      <c r="E24" s="8"/>
      <c r="F24" s="8"/>
      <c r="G24" s="8"/>
    </row>
    <row r="25" spans="1:15" x14ac:dyDescent="0.2">
      <c r="A25" s="12"/>
      <c r="B25" s="78"/>
      <c r="C25" s="78"/>
      <c r="D25" s="78"/>
      <c r="E25" s="8"/>
      <c r="F25" s="8"/>
      <c r="G25" s="8"/>
    </row>
    <row r="26" spans="1:15" x14ac:dyDescent="0.2">
      <c r="A26" s="12" t="s">
        <v>23</v>
      </c>
      <c r="B26" s="78"/>
      <c r="C26" s="78"/>
      <c r="D26" s="78"/>
      <c r="E26" s="8"/>
      <c r="F26" s="8"/>
      <c r="G26" s="8"/>
    </row>
    <row r="27" spans="1:15" x14ac:dyDescent="0.2">
      <c r="A27" s="12"/>
      <c r="B27" s="79" t="s">
        <v>1</v>
      </c>
      <c r="C27" s="80" t="s">
        <v>2</v>
      </c>
      <c r="D27" s="81" t="s">
        <v>3</v>
      </c>
      <c r="E27" s="8"/>
      <c r="F27" s="8"/>
      <c r="G27" s="8"/>
    </row>
    <row r="28" spans="1:15" x14ac:dyDescent="0.2">
      <c r="A28" s="8"/>
      <c r="B28" s="82" t="s">
        <v>4</v>
      </c>
      <c r="C28" s="83" t="s">
        <v>4</v>
      </c>
      <c r="D28" s="83" t="s">
        <v>4</v>
      </c>
      <c r="E28" s="8"/>
      <c r="F28" s="8"/>
      <c r="G28" s="52"/>
      <c r="H28" s="114"/>
    </row>
    <row r="29" spans="1:15" x14ac:dyDescent="0.2">
      <c r="A29" s="54" t="str">
        <f>'2-CR équilibre'!A27</f>
        <v>Energie</v>
      </c>
      <c r="B29" s="55">
        <f>'2-CR équilibre'!B27</f>
        <v>240</v>
      </c>
      <c r="C29" s="55">
        <f>'2-CR équilibre'!C27</f>
        <v>252</v>
      </c>
      <c r="D29" s="55">
        <f>'2-CR équilibre'!D27</f>
        <v>265</v>
      </c>
      <c r="E29" s="8"/>
      <c r="F29" s="8"/>
      <c r="G29" s="8"/>
    </row>
    <row r="30" spans="1:15" x14ac:dyDescent="0.2">
      <c r="A30" s="24" t="str">
        <f>'2-CR équilibre'!A28</f>
        <v>Produit entretien</v>
      </c>
      <c r="B30" s="56">
        <f>'2-CR équilibre'!B28</f>
        <v>50</v>
      </c>
      <c r="C30" s="56">
        <f>'2-CR équilibre'!C28</f>
        <v>102</v>
      </c>
      <c r="D30" s="56">
        <f>'2-CR équilibre'!D28</f>
        <v>100</v>
      </c>
      <c r="E30" s="8"/>
      <c r="F30" s="8"/>
      <c r="G30" s="8"/>
    </row>
    <row r="31" spans="1:15" x14ac:dyDescent="0.2">
      <c r="A31" s="24" t="str">
        <f>'2-CR équilibre'!A29</f>
        <v>Fournitures diverses</v>
      </c>
      <c r="B31" s="56">
        <f>'2-CR équilibre'!B29</f>
        <v>500</v>
      </c>
      <c r="C31" s="56">
        <f>'2-CR équilibre'!C29</f>
        <v>525</v>
      </c>
      <c r="D31" s="56">
        <f>'2-CR équilibre'!D29</f>
        <v>551</v>
      </c>
      <c r="E31" s="8"/>
      <c r="F31" s="8"/>
      <c r="G31" s="8"/>
    </row>
    <row r="32" spans="1:15" x14ac:dyDescent="0.2">
      <c r="A32" s="24" t="str">
        <f>'2-CR équilibre'!A30</f>
        <v>Assurances</v>
      </c>
      <c r="B32" s="56">
        <f>'2-CR équilibre'!B30</f>
        <v>392.10400000000004</v>
      </c>
      <c r="C32" s="56">
        <f>'2-CR équilibre'!C30</f>
        <v>834.04441840000004</v>
      </c>
      <c r="D32" s="56">
        <f>'2-CR équilibre'!D30</f>
        <v>1292.7688485200001</v>
      </c>
      <c r="E32" s="8"/>
      <c r="F32" s="8"/>
      <c r="G32" s="8"/>
    </row>
    <row r="33" spans="1:7" x14ac:dyDescent="0.2">
      <c r="A33" s="24" t="str">
        <f>'2-CR équilibre'!A31</f>
        <v>Honoraires</v>
      </c>
      <c r="B33" s="56">
        <f>'2-CR équilibre'!B31</f>
        <v>2500</v>
      </c>
      <c r="C33" s="56">
        <f>'2-CR équilibre'!C31</f>
        <v>2500</v>
      </c>
      <c r="D33" s="56">
        <f>'2-CR équilibre'!D31</f>
        <v>2500</v>
      </c>
      <c r="E33" s="8"/>
      <c r="F33" s="8"/>
      <c r="G33" s="8"/>
    </row>
    <row r="34" spans="1:7" x14ac:dyDescent="0.2">
      <c r="A34" s="24" t="str">
        <f>'2-CR équilibre'!A32</f>
        <v>Téléphone</v>
      </c>
      <c r="B34" s="56">
        <f>'2-CR équilibre'!B32</f>
        <v>0</v>
      </c>
      <c r="C34" s="56">
        <f>'2-CR équilibre'!C32</f>
        <v>0</v>
      </c>
      <c r="D34" s="56">
        <f>'2-CR équilibre'!D32</f>
        <v>0</v>
      </c>
      <c r="E34" s="8"/>
      <c r="F34" s="8"/>
      <c r="G34" s="8"/>
    </row>
    <row r="35" spans="1:7" x14ac:dyDescent="0.2">
      <c r="A35" s="24" t="str">
        <f>'2-CR équilibre'!A33</f>
        <v>Loyer</v>
      </c>
      <c r="B35" s="56">
        <f>'2-CR équilibre'!B33</f>
        <v>6900</v>
      </c>
      <c r="C35" s="56">
        <f>'2-CR équilibre'!C33</f>
        <v>6900</v>
      </c>
      <c r="D35" s="56">
        <f>'2-CR équilibre'!D33</f>
        <v>6900</v>
      </c>
      <c r="E35" s="8"/>
      <c r="F35" s="8"/>
      <c r="G35" s="8"/>
    </row>
    <row r="36" spans="1:7" x14ac:dyDescent="0.2">
      <c r="A36" s="57" t="str">
        <f>'2-CR équilibre'!A34</f>
        <v>Leasing véhicule</v>
      </c>
      <c r="B36" s="56">
        <f>'2-CR équilibre'!B34</f>
        <v>7767</v>
      </c>
      <c r="C36" s="56">
        <f>'2-CR équilibre'!C34</f>
        <v>14600</v>
      </c>
      <c r="D36" s="56">
        <f>'2-CR équilibre'!D34</f>
        <v>14600</v>
      </c>
      <c r="E36" s="8"/>
      <c r="F36" s="8"/>
      <c r="G36" s="8"/>
    </row>
    <row r="37" spans="1:7" x14ac:dyDescent="0.2">
      <c r="A37" s="24" t="str">
        <f>'2-CR équilibre'!A35</f>
        <v>Publicité</v>
      </c>
      <c r="B37" s="56">
        <f>'2-CR équilibre'!B35</f>
        <v>5000</v>
      </c>
      <c r="C37" s="56">
        <f>'2-CR équilibre'!C35</f>
        <v>3000</v>
      </c>
      <c r="D37" s="56">
        <f>'2-CR équilibre'!D35</f>
        <v>2000</v>
      </c>
      <c r="E37" s="8"/>
      <c r="F37" s="8"/>
      <c r="G37" s="8"/>
    </row>
    <row r="38" spans="1:7" x14ac:dyDescent="0.2">
      <c r="A38" s="24" t="str">
        <f>'2-CR équilibre'!A36</f>
        <v>Services bancaires</v>
      </c>
      <c r="B38" s="56">
        <f>'2-CR équilibre'!B36</f>
        <v>950</v>
      </c>
      <c r="C38" s="56">
        <f>'2-CR équilibre'!C36</f>
        <v>1938</v>
      </c>
      <c r="D38" s="56">
        <f>'2-CR équilibre'!D36</f>
        <v>2500</v>
      </c>
      <c r="E38" s="8"/>
      <c r="F38" s="8"/>
      <c r="G38" s="8"/>
    </row>
    <row r="39" spans="1:7" x14ac:dyDescent="0.2">
      <c r="A39" s="57" t="str">
        <f>'2-CR équilibre'!A37</f>
        <v>Carburant</v>
      </c>
      <c r="B39" s="56">
        <f>'2-CR équilibre'!B37</f>
        <v>4050</v>
      </c>
      <c r="C39" s="56">
        <f>'2-CR équilibre'!C37</f>
        <v>7500</v>
      </c>
      <c r="D39" s="56">
        <f>'2-CR équilibre'!D37</f>
        <v>7800</v>
      </c>
      <c r="E39" s="8"/>
      <c r="F39" s="8"/>
      <c r="G39" s="8"/>
    </row>
    <row r="40" spans="1:7" x14ac:dyDescent="0.2">
      <c r="A40" s="57" t="str">
        <f>'2-CR équilibre'!A38</f>
        <v>Entretien véhicules</v>
      </c>
      <c r="B40" s="56">
        <f>'2-CR équilibre'!B38</f>
        <v>2070</v>
      </c>
      <c r="C40" s="56">
        <f>'2-CR équilibre'!C38</f>
        <v>4500</v>
      </c>
      <c r="D40" s="56">
        <f>'2-CR équilibre'!D38</f>
        <v>5800</v>
      </c>
      <c r="E40" s="8"/>
      <c r="F40" s="8"/>
      <c r="G40" s="8"/>
    </row>
    <row r="41" spans="1:7" x14ac:dyDescent="0.2">
      <c r="A41" s="57" t="str">
        <f>'2-CR équilibre'!A39</f>
        <v>Frais déplacement</v>
      </c>
      <c r="B41" s="56">
        <f>'2-CR équilibre'!B39</f>
        <v>500</v>
      </c>
      <c r="C41" s="56">
        <f>'2-CR équilibre'!C39</f>
        <v>1020</v>
      </c>
      <c r="D41" s="56">
        <f>'2-CR équilibre'!D39</f>
        <v>1581</v>
      </c>
      <c r="E41" s="8"/>
      <c r="F41" s="8"/>
      <c r="G41" s="8"/>
    </row>
    <row r="42" spans="1:7" x14ac:dyDescent="0.2">
      <c r="A42" s="57" t="str">
        <f>'2-CR équilibre'!A40</f>
        <v>Frais formation</v>
      </c>
      <c r="B42" s="56">
        <f>'2-CR équilibre'!B40</f>
        <v>2000</v>
      </c>
      <c r="C42" s="56">
        <f>'2-CR équilibre'!C40</f>
        <v>2000</v>
      </c>
      <c r="D42" s="56">
        <f>'2-CR équilibre'!D40</f>
        <v>2000</v>
      </c>
      <c r="E42" s="8"/>
      <c r="F42" s="8"/>
      <c r="G42" s="8"/>
    </row>
    <row r="43" spans="1:7" x14ac:dyDescent="0.2">
      <c r="A43" s="57" t="str">
        <f>'2-CR équilibre'!A41</f>
        <v>Redevance franchise 1% du CA</v>
      </c>
      <c r="B43" s="56">
        <f>'2-CR équilibre'!B41</f>
        <v>1568.4160000000002</v>
      </c>
      <c r="C43" s="56">
        <f>'2-CR équilibre'!C41</f>
        <v>3336.1776736000002</v>
      </c>
      <c r="D43" s="56">
        <f>'2-CR équilibre'!D41</f>
        <v>5171.0753940800005</v>
      </c>
      <c r="E43" s="8"/>
      <c r="F43" s="8"/>
    </row>
    <row r="44" spans="1:7" ht="11.1" customHeight="1" x14ac:dyDescent="0.2">
      <c r="A44" s="57" t="str">
        <f>'2-CR équilibre'!A42</f>
        <v>Redevance franchise 5% du CA</v>
      </c>
      <c r="B44" s="56">
        <f>'2-CR équilibre'!B42</f>
        <v>7842.0800000000008</v>
      </c>
      <c r="C44" s="56">
        <f>'2-CR équilibre'!C42</f>
        <v>16680.888368</v>
      </c>
      <c r="D44" s="56">
        <f>'2-CR équilibre'!D42</f>
        <v>25855.376970400001</v>
      </c>
    </row>
    <row r="45" spans="1:7" x14ac:dyDescent="0.2">
      <c r="A45" s="24" t="str">
        <f>'2-CR équilibre'!A43</f>
        <v>Affranchissements</v>
      </c>
      <c r="B45" s="56">
        <f>'2-CR équilibre'!B43</f>
        <v>2000</v>
      </c>
      <c r="C45" s="56">
        <f>'2-CR équilibre'!C43</f>
        <v>2900</v>
      </c>
      <c r="D45" s="56">
        <f>'2-CR équilibre'!D43</f>
        <v>4100</v>
      </c>
    </row>
    <row r="46" spans="1:7" x14ac:dyDescent="0.2">
      <c r="A46" s="24" t="str">
        <f>'2-CR équilibre'!A44</f>
        <v>Petit matériel</v>
      </c>
      <c r="B46" s="56">
        <f>'2-CR équilibre'!B44</f>
        <v>0</v>
      </c>
      <c r="C46" s="56">
        <f>'2-CR équilibre'!C44</f>
        <v>0</v>
      </c>
      <c r="D46" s="56">
        <f>'2-CR équilibre'!D44</f>
        <v>0</v>
      </c>
    </row>
    <row r="47" spans="1:7" x14ac:dyDescent="0.2">
      <c r="A47" s="58" t="s">
        <v>35</v>
      </c>
      <c r="B47" s="84">
        <f>SUM(B29:B46)</f>
        <v>44329.599999999999</v>
      </c>
      <c r="C47" s="84">
        <f>SUM(C29:C46)</f>
        <v>68588.110459999996</v>
      </c>
      <c r="D47" s="84">
        <f>SUM(D29:D46)</f>
        <v>83016.221212999997</v>
      </c>
    </row>
  </sheetData>
  <sheetProtection sheet="1"/>
  <mergeCells count="6">
    <mergeCell ref="H9:N9"/>
    <mergeCell ref="H16:L16"/>
    <mergeCell ref="A1:N1"/>
    <mergeCell ref="A2:N2"/>
    <mergeCell ref="A3:N3"/>
    <mergeCell ref="A4:N4"/>
  </mergeCells>
  <phoneticPr fontId="2" type="noConversion"/>
  <conditionalFormatting sqref="B23:D23">
    <cfRule type="cellIs" dxfId="23" priority="4" stopIfTrue="1" operator="lessThan">
      <formula>0</formula>
    </cfRule>
    <cfRule type="cellIs" dxfId="22" priority="5" stopIfTrue="1" operator="lessThan">
      <formula>0</formula>
    </cfRule>
    <cfRule type="cellIs" dxfId="21" priority="6" stopIfTrue="1" operator="lessThan">
      <formula>0</formula>
    </cfRule>
  </conditionalFormatting>
  <conditionalFormatting sqref="B24:D24">
    <cfRule type="cellIs" dxfId="20" priority="1" stopIfTrue="1" operator="lessThan">
      <formula>0</formula>
    </cfRule>
    <cfRule type="cellIs" dxfId="19" priority="2" stopIfTrue="1" operator="lessThan">
      <formula>0</formula>
    </cfRule>
    <cfRule type="cellIs" dxfId="18" priority="3" stopIfTrue="1" operator="lessThan">
      <formula>0</formula>
    </cfRule>
  </conditionalFormatting>
  <pageMargins left="0.39370078740157483" right="0.39370078740157483" top="0.39370078740157483" bottom="0.39370078740157483" header="0.51181102362204722" footer="0.51181102362204722"/>
  <pageSetup paperSize="9" scale="70" orientation="landscape"/>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O47"/>
  <sheetViews>
    <sheetView topLeftCell="A18" zoomScale="75" zoomScaleNormal="75" zoomScalePageLayoutView="75" workbookViewId="0">
      <selection activeCell="B47" sqref="B47:D47"/>
    </sheetView>
  </sheetViews>
  <sheetFormatPr baseColWidth="10" defaultColWidth="11.42578125" defaultRowHeight="12.75" x14ac:dyDescent="0.2"/>
  <cols>
    <col min="1" max="1" width="33" style="5" customWidth="1"/>
    <col min="2" max="4" width="12.7109375" style="5" customWidth="1"/>
    <col min="5" max="7" width="7.7109375" style="5" customWidth="1"/>
    <col min="8" max="8" width="19.140625" style="5" customWidth="1"/>
    <col min="9" max="9" width="11.28515625" style="60" customWidth="1"/>
    <col min="10" max="10" width="18.28515625" style="60" customWidth="1"/>
    <col min="11" max="11" width="12.42578125" style="60" customWidth="1"/>
    <col min="12" max="12" width="10.140625" style="60" customWidth="1"/>
    <col min="13" max="13" width="13.140625" style="60" customWidth="1"/>
    <col min="14" max="14" width="13.85546875" style="60" customWidth="1"/>
    <col min="15" max="15" width="9.140625" style="59" customWidth="1"/>
    <col min="16" max="16384" width="11.42578125" style="5"/>
  </cols>
  <sheetData>
    <row r="1" spans="1:15" ht="25.5" customHeight="1" x14ac:dyDescent="0.2">
      <c r="A1" s="160" t="s">
        <v>78</v>
      </c>
      <c r="B1" s="160"/>
      <c r="C1" s="160"/>
      <c r="D1" s="160"/>
      <c r="E1" s="160"/>
      <c r="F1" s="160"/>
      <c r="G1" s="160"/>
      <c r="H1" s="160"/>
      <c r="I1" s="160"/>
      <c r="J1" s="160"/>
      <c r="K1" s="160"/>
      <c r="L1" s="160"/>
      <c r="M1" s="160"/>
      <c r="N1" s="160"/>
      <c r="O1" s="160"/>
    </row>
    <row r="2" spans="1:15" ht="15.75" x14ac:dyDescent="0.25">
      <c r="A2" s="164" t="s">
        <v>96</v>
      </c>
      <c r="B2" s="164"/>
      <c r="C2" s="164"/>
      <c r="D2" s="164"/>
      <c r="E2" s="164"/>
      <c r="F2" s="164"/>
      <c r="G2" s="164"/>
      <c r="H2" s="164"/>
      <c r="I2" s="164"/>
      <c r="J2" s="164"/>
      <c r="K2" s="164"/>
      <c r="L2" s="164"/>
      <c r="M2" s="164"/>
      <c r="N2" s="164"/>
      <c r="O2" s="164"/>
    </row>
    <row r="3" spans="1:15" ht="15" x14ac:dyDescent="0.2">
      <c r="A3" s="164" t="s">
        <v>91</v>
      </c>
      <c r="B3" s="164"/>
      <c r="C3" s="164"/>
      <c r="D3" s="164"/>
      <c r="E3" s="164"/>
      <c r="F3" s="164"/>
      <c r="G3" s="164"/>
      <c r="H3" s="164"/>
      <c r="I3" s="164"/>
      <c r="J3" s="164"/>
      <c r="K3" s="164"/>
      <c r="L3" s="164"/>
      <c r="M3" s="164"/>
      <c r="N3" s="164"/>
      <c r="O3" s="164"/>
    </row>
    <row r="4" spans="1:15" ht="15" x14ac:dyDescent="0.2">
      <c r="A4" s="164" t="s">
        <v>95</v>
      </c>
      <c r="B4" s="164"/>
      <c r="C4" s="164"/>
      <c r="D4" s="164"/>
      <c r="E4" s="164"/>
      <c r="F4" s="164"/>
      <c r="G4" s="164"/>
      <c r="H4" s="164"/>
      <c r="I4" s="164"/>
      <c r="J4" s="164"/>
      <c r="K4" s="164"/>
      <c r="L4" s="164"/>
      <c r="M4" s="164"/>
      <c r="N4" s="164"/>
      <c r="O4" s="164"/>
    </row>
    <row r="5" spans="1:15" ht="15" x14ac:dyDescent="0.2">
      <c r="A5" s="85"/>
      <c r="B5" s="85"/>
      <c r="C5" s="85"/>
      <c r="D5" s="85"/>
      <c r="E5" s="85"/>
      <c r="F5" s="85"/>
      <c r="G5" s="85"/>
      <c r="H5" s="85"/>
      <c r="I5" s="85"/>
      <c r="J5" s="85"/>
      <c r="K5" s="85"/>
      <c r="L5" s="85"/>
      <c r="M5" s="85"/>
      <c r="N5" s="85"/>
      <c r="O5" s="85"/>
    </row>
    <row r="6" spans="1:15" x14ac:dyDescent="0.2">
      <c r="A6" s="12"/>
      <c r="B6" s="8"/>
      <c r="C6" s="8"/>
      <c r="D6" s="8"/>
      <c r="E6" s="8" t="s">
        <v>0</v>
      </c>
      <c r="F6" s="8"/>
      <c r="G6" s="11">
        <v>0.35</v>
      </c>
      <c r="H6" s="115"/>
    </row>
    <row r="7" spans="1:15" x14ac:dyDescent="0.2">
      <c r="A7" s="8"/>
      <c r="B7" s="8"/>
      <c r="C7" s="8"/>
      <c r="D7" s="8"/>
      <c r="E7" s="8"/>
      <c r="F7" s="8"/>
      <c r="G7" s="8"/>
    </row>
    <row r="8" spans="1:15" ht="13.5" thickBot="1" x14ac:dyDescent="0.25">
      <c r="A8" s="12"/>
      <c r="B8" s="13" t="s">
        <v>1</v>
      </c>
      <c r="C8" s="13" t="s">
        <v>2</v>
      </c>
      <c r="D8" s="14" t="s">
        <v>3</v>
      </c>
      <c r="E8" s="8"/>
      <c r="F8" s="8"/>
      <c r="G8" s="8"/>
    </row>
    <row r="9" spans="1:15" ht="13.5" customHeight="1" thickBot="1" x14ac:dyDescent="0.25">
      <c r="A9" s="8"/>
      <c r="B9" s="15" t="s">
        <v>4</v>
      </c>
      <c r="C9" s="15" t="s">
        <v>4</v>
      </c>
      <c r="D9" s="15" t="s">
        <v>4</v>
      </c>
      <c r="E9" s="8"/>
      <c r="F9" s="8"/>
      <c r="G9" s="8"/>
      <c r="H9" s="153" t="s">
        <v>5</v>
      </c>
      <c r="I9" s="154"/>
      <c r="J9" s="154"/>
      <c r="K9" s="154"/>
      <c r="L9" s="154"/>
      <c r="M9" s="154"/>
      <c r="N9" s="154"/>
      <c r="O9" s="155"/>
    </row>
    <row r="10" spans="1:15" ht="39.75" thickBot="1" x14ac:dyDescent="0.3">
      <c r="A10" s="16" t="s">
        <v>6</v>
      </c>
      <c r="B10" s="69">
        <f>N16</f>
        <v>156841.59999999998</v>
      </c>
      <c r="C10" s="124">
        <f>B10*2.4</f>
        <v>376419.83999999991</v>
      </c>
      <c r="D10" s="124">
        <f>C10*1.9</f>
        <v>715197.69599999976</v>
      </c>
      <c r="E10" s="19">
        <f>C10/B10</f>
        <v>2.4</v>
      </c>
      <c r="F10" s="19">
        <f>D10/C10</f>
        <v>1.9</v>
      </c>
      <c r="G10" s="19"/>
      <c r="H10" s="20" t="s">
        <v>36</v>
      </c>
      <c r="I10" s="21" t="s">
        <v>42</v>
      </c>
      <c r="J10" s="21" t="s">
        <v>45</v>
      </c>
      <c r="K10" s="21" t="s">
        <v>38</v>
      </c>
      <c r="L10" s="21" t="s">
        <v>40</v>
      </c>
      <c r="M10" s="107" t="s">
        <v>7</v>
      </c>
      <c r="N10" s="116" t="s">
        <v>8</v>
      </c>
      <c r="O10" s="108" t="s">
        <v>9</v>
      </c>
    </row>
    <row r="11" spans="1:15" ht="39.75" customHeight="1" x14ac:dyDescent="0.2">
      <c r="A11" s="24" t="s">
        <v>10</v>
      </c>
      <c r="B11" s="27">
        <f>'2-CR équilibre'!B9</f>
        <v>18000</v>
      </c>
      <c r="C11" s="27">
        <f>'2-CR équilibre'!C9</f>
        <v>22000</v>
      </c>
      <c r="D11" s="27">
        <f>'2-CR équilibre'!D9</f>
        <v>42000</v>
      </c>
      <c r="E11" s="19">
        <f>C11/B11</f>
        <v>1.2222222222222223</v>
      </c>
      <c r="F11" s="19">
        <f>D11/C11</f>
        <v>1.9090909090909092</v>
      </c>
      <c r="G11" s="19"/>
      <c r="H11" s="26" t="s">
        <v>37</v>
      </c>
      <c r="I11" s="27">
        <f>'2-CR équilibre'!I9</f>
        <v>21</v>
      </c>
      <c r="J11" s="89">
        <f>'2-CR équilibre'!J9</f>
        <v>2080</v>
      </c>
      <c r="K11" s="61">
        <f>(J11*I11)</f>
        <v>43680</v>
      </c>
      <c r="L11" s="97">
        <f>'2-CR équilibre'!L9</f>
        <v>7.0000000000000007E-2</v>
      </c>
      <c r="M11" s="61">
        <f>K11+(K11*L11)</f>
        <v>46737.599999999999</v>
      </c>
      <c r="N11" s="61">
        <f t="shared" ref="N11:N16" si="0">M11/1.07</f>
        <v>43679.999999999993</v>
      </c>
      <c r="O11" s="121">
        <f>N11/N16</f>
        <v>0.27849754146858996</v>
      </c>
    </row>
    <row r="12" spans="1:15" s="32" customFormat="1" x14ac:dyDescent="0.2">
      <c r="A12" s="24" t="s">
        <v>14</v>
      </c>
      <c r="B12" s="30">
        <v>93800</v>
      </c>
      <c r="C12" s="30">
        <f>B12*2.4</f>
        <v>225120</v>
      </c>
      <c r="D12" s="30">
        <f>C12*1.9</f>
        <v>427728</v>
      </c>
      <c r="E12" s="19"/>
      <c r="F12" s="19"/>
      <c r="G12" s="12"/>
      <c r="H12" s="26" t="s">
        <v>39</v>
      </c>
      <c r="I12" s="30">
        <f>'2-CR équilibre'!I10</f>
        <v>28</v>
      </c>
      <c r="J12" s="90">
        <f>'2-CR équilibre'!J10</f>
        <v>460</v>
      </c>
      <c r="K12" s="61">
        <f>(J12*I12)</f>
        <v>12880</v>
      </c>
      <c r="L12" s="97">
        <f>'2-CR équilibre'!L10</f>
        <v>7.0000000000000007E-2</v>
      </c>
      <c r="M12" s="61">
        <f>K12+(K12*L12)</f>
        <v>13781.6</v>
      </c>
      <c r="N12" s="61">
        <f t="shared" si="0"/>
        <v>12880</v>
      </c>
      <c r="O12" s="121">
        <f>N12/N16</f>
        <v>8.2121069920225262E-2</v>
      </c>
    </row>
    <row r="13" spans="1:15" ht="33.75" customHeight="1" x14ac:dyDescent="0.25">
      <c r="A13" s="16" t="s">
        <v>11</v>
      </c>
      <c r="B13" s="69">
        <f>+B10-B11-B12</f>
        <v>45041.599999999977</v>
      </c>
      <c r="C13" s="69">
        <f>+C10-C11-C12</f>
        <v>129299.83999999991</v>
      </c>
      <c r="D13" s="69">
        <f>+D10-D11-D12</f>
        <v>245469.69599999976</v>
      </c>
      <c r="E13" s="125">
        <f>B13/B10</f>
        <v>0.28717891171729937</v>
      </c>
      <c r="F13" s="125">
        <f>C13/C10</f>
        <v>0.34349900366569397</v>
      </c>
      <c r="G13" s="8"/>
      <c r="H13" s="26" t="s">
        <v>41</v>
      </c>
      <c r="I13" s="27">
        <f>'2-CR équilibre'!I11</f>
        <v>27</v>
      </c>
      <c r="J13" s="89">
        <f>'2-CR équilibre'!J11</f>
        <v>1440</v>
      </c>
      <c r="K13" s="61">
        <f>(J13*I13)</f>
        <v>38880</v>
      </c>
      <c r="L13" s="97">
        <f>'2-CR équilibre'!L11</f>
        <v>7.0000000000000007E-2</v>
      </c>
      <c r="M13" s="61">
        <f>K13+(K13*L13)</f>
        <v>41601.599999999999</v>
      </c>
      <c r="N13" s="61">
        <f t="shared" si="0"/>
        <v>38880</v>
      </c>
      <c r="O13" s="121">
        <f>N13/N16</f>
        <v>0.24789341603248122</v>
      </c>
    </row>
    <row r="14" spans="1:15" ht="15" customHeight="1" x14ac:dyDescent="0.2">
      <c r="A14" s="24" t="str">
        <f>'2-CR équilibre'!A12</f>
        <v>Autres charges externes</v>
      </c>
      <c r="B14" s="25">
        <f>+B47</f>
        <v>41362.995999999999</v>
      </c>
      <c r="C14" s="25">
        <f>+C47</f>
        <v>85689.566041600003</v>
      </c>
      <c r="D14" s="25">
        <f>+D47</f>
        <v>101178.95236448001</v>
      </c>
      <c r="E14" s="8"/>
      <c r="F14" s="8"/>
      <c r="G14" s="8"/>
      <c r="H14" s="26" t="s">
        <v>44</v>
      </c>
      <c r="I14" s="27">
        <f>'2-CR équilibre'!I12</f>
        <v>8.34</v>
      </c>
      <c r="J14" s="89">
        <f>'2-CR équilibre'!J12</f>
        <v>6240</v>
      </c>
      <c r="K14" s="61">
        <f>(J14*I14)</f>
        <v>52041.599999999999</v>
      </c>
      <c r="L14" s="97">
        <f>'2-CR équilibre'!L12</f>
        <v>7.0000000000000007E-2</v>
      </c>
      <c r="M14" s="61">
        <f>K14+(K14*L14)</f>
        <v>55684.512000000002</v>
      </c>
      <c r="N14" s="61">
        <f t="shared" si="0"/>
        <v>52041.599999999999</v>
      </c>
      <c r="O14" s="121">
        <f>N14/N16</f>
        <v>0.33180992797829151</v>
      </c>
    </row>
    <row r="15" spans="1:15" ht="15" customHeight="1" x14ac:dyDescent="0.2">
      <c r="A15" s="24" t="str">
        <f>'2-CR équilibre'!A13</f>
        <v>Impôts et taxes</v>
      </c>
      <c r="B15" s="25">
        <f>'2-CR équilibre'!B13</f>
        <v>3000</v>
      </c>
      <c r="C15" s="25">
        <f>'2-CR équilibre'!C13</f>
        <v>4000</v>
      </c>
      <c r="D15" s="25">
        <f>'2-CR équilibre'!D13</f>
        <v>5000</v>
      </c>
      <c r="E15" s="8"/>
      <c r="F15" s="8"/>
      <c r="G15" s="8"/>
      <c r="H15" s="26" t="s">
        <v>43</v>
      </c>
      <c r="I15" s="35">
        <f>'2-CR équilibre'!I13</f>
        <v>9</v>
      </c>
      <c r="J15" s="89">
        <f>'2-CR équilibre'!J13</f>
        <v>1040</v>
      </c>
      <c r="K15" s="61">
        <f>(J15*I15)</f>
        <v>9360</v>
      </c>
      <c r="L15" s="97">
        <f>'2-CR équilibre'!L13</f>
        <v>7.0000000000000007E-2</v>
      </c>
      <c r="M15" s="61">
        <f>K15+(K15*L15)</f>
        <v>10015.200000000001</v>
      </c>
      <c r="N15" s="61">
        <f>M15/1.07</f>
        <v>9360</v>
      </c>
      <c r="O15" s="121">
        <f>N15/N16</f>
        <v>5.9678044600412143E-2</v>
      </c>
    </row>
    <row r="16" spans="1:15" ht="15" customHeight="1" thickBot="1" x14ac:dyDescent="0.25">
      <c r="A16" s="24" t="str">
        <f>'2-CR équilibre'!A14</f>
        <v>Intérêt emprunts</v>
      </c>
      <c r="B16" s="25">
        <f>'2-CR équilibre'!B14</f>
        <v>1842</v>
      </c>
      <c r="C16" s="25">
        <f>'2-CR équilibre'!C14</f>
        <v>1561</v>
      </c>
      <c r="D16" s="25">
        <f>'2-CR équilibre'!D14</f>
        <v>1279</v>
      </c>
      <c r="E16" s="8"/>
      <c r="F16" s="8"/>
      <c r="G16" s="8"/>
      <c r="H16" s="37" t="s">
        <v>15</v>
      </c>
      <c r="I16" s="38"/>
      <c r="J16" s="38"/>
      <c r="K16" s="65"/>
      <c r="L16" s="66"/>
      <c r="M16" s="67">
        <f>SUM(M11:M15)</f>
        <v>167820.51199999999</v>
      </c>
      <c r="N16" s="122">
        <f t="shared" si="0"/>
        <v>156841.59999999998</v>
      </c>
      <c r="O16" s="123">
        <f>O11+O12+O13+O14+O15</f>
        <v>1.0000000000000002</v>
      </c>
    </row>
    <row r="17" spans="1:15" ht="15" customHeight="1" x14ac:dyDescent="0.2">
      <c r="A17" s="24" t="str">
        <f>'2-CR équilibre'!A15</f>
        <v>Capital emprunt</v>
      </c>
      <c r="B17" s="91">
        <f>'2-CR équilibre'!B15</f>
        <v>0</v>
      </c>
      <c r="C17" s="91">
        <f>'2-CR équilibre'!C15</f>
        <v>0</v>
      </c>
      <c r="D17" s="91">
        <f>'2-CR équilibre'!D15</f>
        <v>0</v>
      </c>
      <c r="E17" s="8"/>
      <c r="F17" s="8"/>
      <c r="G17" s="8"/>
      <c r="N17" s="118"/>
    </row>
    <row r="18" spans="1:15" ht="15" customHeight="1" x14ac:dyDescent="0.25">
      <c r="A18" s="92" t="str">
        <f>'2-CR équilibre'!A16</f>
        <v>Reste à vivre</v>
      </c>
      <c r="B18" s="70">
        <f>-SUM(B14:B17)+B13</f>
        <v>-1163.3960000000225</v>
      </c>
      <c r="C18" s="70">
        <f>-SUM(C14:C17)+C13</f>
        <v>38049.273958399906</v>
      </c>
      <c r="D18" s="70">
        <f>-SUM(D14:D17)+D13</f>
        <v>138011.74363551976</v>
      </c>
      <c r="E18" s="41"/>
      <c r="F18" s="41"/>
      <c r="G18" s="8"/>
    </row>
    <row r="19" spans="1:15" s="32" customFormat="1" x14ac:dyDescent="0.2">
      <c r="A19" s="92" t="str">
        <f>'2-CR équilibre'!A17</f>
        <v>Soit par mois</v>
      </c>
      <c r="B19" s="71">
        <f>B18/12</f>
        <v>-96.949666666668534</v>
      </c>
      <c r="C19" s="71">
        <f>C18/12</f>
        <v>3170.7728298666589</v>
      </c>
      <c r="D19" s="71">
        <f>D18/12</f>
        <v>11500.978636293314</v>
      </c>
      <c r="E19" s="41"/>
      <c r="F19" s="41"/>
      <c r="G19" s="12"/>
      <c r="I19" s="113"/>
      <c r="J19" s="113"/>
      <c r="K19" s="113"/>
      <c r="L19" s="113"/>
      <c r="M19" s="113"/>
      <c r="N19" s="113"/>
      <c r="O19" s="119"/>
    </row>
    <row r="20" spans="1:15" x14ac:dyDescent="0.2">
      <c r="A20" s="24" t="s">
        <v>16</v>
      </c>
      <c r="B20" s="99">
        <f>+B21*0.5</f>
        <v>5700</v>
      </c>
      <c r="C20" s="99">
        <f>+C21*0.5</f>
        <v>9000</v>
      </c>
      <c r="D20" s="99">
        <f>+D21*0.5</f>
        <v>12500</v>
      </c>
      <c r="E20" s="12"/>
      <c r="F20" s="12"/>
      <c r="G20" s="8"/>
    </row>
    <row r="21" spans="1:15" ht="22.5" customHeight="1" x14ac:dyDescent="0.2">
      <c r="A21" s="45" t="str">
        <f>'2-CR équilibre'!A19</f>
        <v>Prélèvement exploitant/AN</v>
      </c>
      <c r="B21" s="72">
        <f>+'2-CR équilibre'!B19</f>
        <v>11400</v>
      </c>
      <c r="C21" s="72">
        <f>+'2-CR équilibre'!C19</f>
        <v>18000</v>
      </c>
      <c r="D21" s="72">
        <f>+'2-CR équilibre'!D19</f>
        <v>25000</v>
      </c>
      <c r="E21" s="8"/>
      <c r="F21" s="8"/>
      <c r="G21" s="8"/>
    </row>
    <row r="22" spans="1:15" ht="22.5" customHeight="1" x14ac:dyDescent="0.25">
      <c r="A22" s="40" t="str">
        <f>'2-CR équilibre'!A20</f>
        <v>Soit revenu mensuel</v>
      </c>
      <c r="B22" s="73">
        <f>B21/12</f>
        <v>950</v>
      </c>
      <c r="C22" s="73">
        <f>C21/12</f>
        <v>1500</v>
      </c>
      <c r="D22" s="74">
        <f>D21/12</f>
        <v>2083.3333333333335</v>
      </c>
      <c r="E22" s="8"/>
      <c r="F22" s="8"/>
      <c r="G22" s="8"/>
    </row>
    <row r="23" spans="1:15" ht="21" thickBot="1" x14ac:dyDescent="0.35">
      <c r="A23" s="93" t="s">
        <v>64</v>
      </c>
      <c r="B23" s="75">
        <f>+B13-B14-B15-B16-B21-B20</f>
        <v>-18263.396000000022</v>
      </c>
      <c r="C23" s="75">
        <f>+C13-C14-C15-C16-C21-C20</f>
        <v>11049.273958399906</v>
      </c>
      <c r="D23" s="75">
        <f>+D13-D14-D15-D16-D21-D20</f>
        <v>100511.74363551976</v>
      </c>
      <c r="E23" s="8"/>
      <c r="F23" s="8"/>
      <c r="G23" s="8"/>
    </row>
    <row r="24" spans="1:15" ht="22.5" customHeight="1" thickBot="1" x14ac:dyDescent="0.3">
      <c r="A24" s="47" t="s">
        <v>65</v>
      </c>
      <c r="B24" s="75"/>
      <c r="C24" s="75">
        <f>+B23+C23</f>
        <v>-7214.1220416001161</v>
      </c>
      <c r="D24" s="75">
        <f>+C24+D23</f>
        <v>93297.621593919641</v>
      </c>
      <c r="E24" s="8"/>
      <c r="F24" s="8"/>
      <c r="G24" s="8"/>
    </row>
    <row r="25" spans="1:15" x14ac:dyDescent="0.2">
      <c r="A25" s="12"/>
      <c r="B25" s="78"/>
      <c r="C25" s="78"/>
      <c r="D25" s="78"/>
      <c r="E25" s="8"/>
      <c r="F25" s="8"/>
      <c r="G25" s="8"/>
    </row>
    <row r="26" spans="1:15" x14ac:dyDescent="0.2">
      <c r="A26" s="12" t="s">
        <v>23</v>
      </c>
      <c r="B26" s="78"/>
      <c r="C26" s="78"/>
      <c r="D26" s="78"/>
      <c r="E26" s="8"/>
      <c r="F26" s="8"/>
    </row>
    <row r="27" spans="1:15" x14ac:dyDescent="0.2">
      <c r="A27" s="12"/>
      <c r="B27" s="79" t="s">
        <v>1</v>
      </c>
      <c r="C27" s="80" t="s">
        <v>2</v>
      </c>
      <c r="D27" s="81" t="s">
        <v>3</v>
      </c>
    </row>
    <row r="28" spans="1:15" x14ac:dyDescent="0.2">
      <c r="A28" s="8"/>
      <c r="B28" s="82" t="s">
        <v>4</v>
      </c>
      <c r="C28" s="83" t="s">
        <v>4</v>
      </c>
      <c r="D28" s="83" t="s">
        <v>4</v>
      </c>
    </row>
    <row r="29" spans="1:15" x14ac:dyDescent="0.2">
      <c r="A29" s="54" t="str">
        <f>'2-CR équilibre'!A27</f>
        <v>Energie</v>
      </c>
      <c r="B29" s="55">
        <f>'2-CR équilibre'!B27</f>
        <v>240</v>
      </c>
      <c r="C29" s="55">
        <f>'2-CR équilibre'!C27</f>
        <v>252</v>
      </c>
      <c r="D29" s="55">
        <f>'2-CR équilibre'!D27</f>
        <v>265</v>
      </c>
    </row>
    <row r="30" spans="1:15" x14ac:dyDescent="0.2">
      <c r="A30" s="24" t="str">
        <f>'2-CR équilibre'!A28</f>
        <v>Produit entretien</v>
      </c>
      <c r="B30" s="56">
        <f>'2-CR équilibre'!B28</f>
        <v>50</v>
      </c>
      <c r="C30" s="56">
        <f>'2-CR équilibre'!C28</f>
        <v>102</v>
      </c>
      <c r="D30" s="56">
        <f>'2-CR équilibre'!D28</f>
        <v>100</v>
      </c>
    </row>
    <row r="31" spans="1:15" x14ac:dyDescent="0.2">
      <c r="A31" s="24" t="str">
        <f>'2-CR équilibre'!A29</f>
        <v>Fournitures diverses</v>
      </c>
      <c r="B31" s="56">
        <f>'2-CR équilibre'!B29</f>
        <v>500</v>
      </c>
      <c r="C31" s="56">
        <f>'2-CR équilibre'!C29</f>
        <v>525</v>
      </c>
      <c r="D31" s="56">
        <f>'2-CR équilibre'!D29</f>
        <v>551</v>
      </c>
    </row>
    <row r="32" spans="1:15" x14ac:dyDescent="0.2">
      <c r="A32" s="24" t="str">
        <f>'2-CR équilibre'!A30</f>
        <v>Assurances</v>
      </c>
      <c r="B32" s="56">
        <f>2205+(2205*10%)</f>
        <v>2425.5</v>
      </c>
      <c r="C32" s="56">
        <f>2205+(2205*10%)</f>
        <v>2425.5</v>
      </c>
      <c r="D32" s="56">
        <f>2205+(2205*10%)</f>
        <v>2425.5</v>
      </c>
    </row>
    <row r="33" spans="1:4" x14ac:dyDescent="0.2">
      <c r="A33" s="24" t="str">
        <f>'2-CR équilibre'!A31</f>
        <v>Honoraires</v>
      </c>
      <c r="B33" s="56">
        <v>2500</v>
      </c>
      <c r="C33" s="120">
        <v>5700</v>
      </c>
      <c r="D33" s="120">
        <v>5800</v>
      </c>
    </row>
    <row r="34" spans="1:4" x14ac:dyDescent="0.2">
      <c r="A34" s="24" t="str">
        <f>'2-CR équilibre'!A32</f>
        <v>Téléphone</v>
      </c>
      <c r="B34" s="56">
        <f>'2-CR équilibre'!B32</f>
        <v>0</v>
      </c>
      <c r="C34" s="56">
        <f>'2-CR équilibre'!C32</f>
        <v>0</v>
      </c>
      <c r="D34" s="56">
        <f>'2-CR équilibre'!D32</f>
        <v>0</v>
      </c>
    </row>
    <row r="35" spans="1:4" x14ac:dyDescent="0.2">
      <c r="A35" s="24" t="str">
        <f>'2-CR équilibre'!A33</f>
        <v>Loyer</v>
      </c>
      <c r="B35" s="56">
        <v>6900</v>
      </c>
      <c r="C35" s="120">
        <v>13800</v>
      </c>
      <c r="D35" s="120">
        <v>13800</v>
      </c>
    </row>
    <row r="36" spans="1:4" x14ac:dyDescent="0.2">
      <c r="A36" s="57" t="str">
        <f>'2-CR équilibre'!A34</f>
        <v>Leasing véhicule</v>
      </c>
      <c r="B36" s="56">
        <v>7767</v>
      </c>
      <c r="C36" s="120">
        <f>14600+(14600*10%)</f>
        <v>16060</v>
      </c>
      <c r="D36" s="120">
        <f>14600+(14600*10%)</f>
        <v>16060</v>
      </c>
    </row>
    <row r="37" spans="1:4" x14ac:dyDescent="0.2">
      <c r="A37" s="24" t="str">
        <f>'2-CR équilibre'!A35</f>
        <v>Publicité</v>
      </c>
      <c r="B37" s="56"/>
      <c r="C37" s="120">
        <v>6500</v>
      </c>
      <c r="D37" s="120">
        <v>6500</v>
      </c>
    </row>
    <row r="38" spans="1:4" x14ac:dyDescent="0.2">
      <c r="A38" s="24" t="str">
        <f>'2-CR équilibre'!A36</f>
        <v>Services bancaires</v>
      </c>
      <c r="B38" s="56">
        <f>'2-CR équilibre'!B36</f>
        <v>950</v>
      </c>
      <c r="C38" s="56">
        <f>'2-CR équilibre'!C36</f>
        <v>1938</v>
      </c>
      <c r="D38" s="56">
        <f>'2-CR équilibre'!D36</f>
        <v>2500</v>
      </c>
    </row>
    <row r="39" spans="1:4" x14ac:dyDescent="0.2">
      <c r="A39" s="57" t="str">
        <f>'2-CR équilibre'!A37</f>
        <v>Carburant</v>
      </c>
      <c r="B39" s="56">
        <f>'2-CR équilibre'!B37</f>
        <v>4050</v>
      </c>
      <c r="C39" s="56">
        <f>'2-CR équilibre'!C37</f>
        <v>7500</v>
      </c>
      <c r="D39" s="56">
        <f>'2-CR équilibre'!D37</f>
        <v>7800</v>
      </c>
    </row>
    <row r="40" spans="1:4" x14ac:dyDescent="0.2">
      <c r="A40" s="57" t="str">
        <f>'2-CR équilibre'!A38</f>
        <v>Entretien véhicules</v>
      </c>
      <c r="B40" s="56">
        <v>2070</v>
      </c>
      <c r="C40" s="120">
        <f>4500+(4500*10%)</f>
        <v>4950</v>
      </c>
      <c r="D40" s="120">
        <f>5800+(5800*15%)</f>
        <v>6670</v>
      </c>
    </row>
    <row r="41" spans="1:4" x14ac:dyDescent="0.2">
      <c r="A41" s="57" t="str">
        <f>'2-CR équilibre'!A39</f>
        <v>Frais déplacement</v>
      </c>
      <c r="B41" s="56">
        <f>'2-CR équilibre'!B39</f>
        <v>500</v>
      </c>
      <c r="C41" s="56">
        <f>'2-CR équilibre'!C39</f>
        <v>1020</v>
      </c>
      <c r="D41" s="56">
        <f>'2-CR équilibre'!D39</f>
        <v>1581</v>
      </c>
    </row>
    <row r="42" spans="1:4" x14ac:dyDescent="0.2">
      <c r="A42" s="57" t="str">
        <f>'2-CR équilibre'!A40</f>
        <v>Frais formation</v>
      </c>
      <c r="B42" s="56">
        <f>'2-CR équilibre'!B40</f>
        <v>2000</v>
      </c>
      <c r="C42" s="56">
        <f>'2-CR équilibre'!C40</f>
        <v>2000</v>
      </c>
      <c r="D42" s="56">
        <f>'2-CR équilibre'!D40</f>
        <v>2000</v>
      </c>
    </row>
    <row r="43" spans="1:4" x14ac:dyDescent="0.2">
      <c r="A43" s="57" t="str">
        <f>'2-CR équilibre'!A41</f>
        <v>Redevance franchise 1% du CA</v>
      </c>
      <c r="B43" s="56">
        <f>'2-CR équilibre'!B41</f>
        <v>1568.4160000000002</v>
      </c>
      <c r="C43" s="56">
        <f>'2-CR équilibre'!C41</f>
        <v>3336.1776736000002</v>
      </c>
      <c r="D43" s="56">
        <f>'2-CR équilibre'!D41</f>
        <v>5171.0753940800005</v>
      </c>
    </row>
    <row r="44" spans="1:4" x14ac:dyDescent="0.2">
      <c r="A44" s="57" t="str">
        <f>'2-CR équilibre'!A42</f>
        <v>Redevance franchise 5% du CA</v>
      </c>
      <c r="B44" s="56">
        <f>'2-CR équilibre'!B42</f>
        <v>7842.0800000000008</v>
      </c>
      <c r="C44" s="56">
        <f>'2-CR équilibre'!C42</f>
        <v>16680.888368</v>
      </c>
      <c r="D44" s="56">
        <f>'2-CR équilibre'!D42</f>
        <v>25855.376970400001</v>
      </c>
    </row>
    <row r="45" spans="1:4" x14ac:dyDescent="0.2">
      <c r="A45" s="24" t="str">
        <f>'2-CR équilibre'!A43</f>
        <v>Affranchissements</v>
      </c>
      <c r="B45" s="56">
        <f>'2-CR équilibre'!B43</f>
        <v>2000</v>
      </c>
      <c r="C45" s="56">
        <f>'2-CR équilibre'!C43</f>
        <v>2900</v>
      </c>
      <c r="D45" s="56">
        <f>'2-CR équilibre'!D43</f>
        <v>4100</v>
      </c>
    </row>
    <row r="46" spans="1:4" x14ac:dyDescent="0.2">
      <c r="A46" s="24" t="str">
        <f>'2-CR équilibre'!A44</f>
        <v>Petit matériel</v>
      </c>
      <c r="B46" s="56">
        <f>'2-CR équilibre'!B44</f>
        <v>0</v>
      </c>
      <c r="C46" s="56">
        <f>'2-CR équilibre'!C44</f>
        <v>0</v>
      </c>
      <c r="D46" s="56">
        <f>'2-CR équilibre'!D44</f>
        <v>0</v>
      </c>
    </row>
    <row r="47" spans="1:4" x14ac:dyDescent="0.2">
      <c r="A47" s="58" t="s">
        <v>35</v>
      </c>
      <c r="B47" s="84">
        <f>SUM(B29:B46)</f>
        <v>41362.995999999999</v>
      </c>
      <c r="C47" s="84">
        <f>SUM(C29:C46)</f>
        <v>85689.566041600003</v>
      </c>
      <c r="D47" s="84">
        <f>SUM(D29:D46)</f>
        <v>101178.95236448001</v>
      </c>
    </row>
  </sheetData>
  <sheetProtection sheet="1"/>
  <mergeCells count="5">
    <mergeCell ref="H9:O9"/>
    <mergeCell ref="A1:O1"/>
    <mergeCell ref="A2:O2"/>
    <mergeCell ref="A3:O3"/>
    <mergeCell ref="A4:O4"/>
  </mergeCells>
  <phoneticPr fontId="2" type="noConversion"/>
  <conditionalFormatting sqref="B23:D23">
    <cfRule type="cellIs" dxfId="17" priority="4" stopIfTrue="1" operator="lessThan">
      <formula>0</formula>
    </cfRule>
    <cfRule type="cellIs" dxfId="16" priority="5" stopIfTrue="1" operator="lessThan">
      <formula>0</formula>
    </cfRule>
    <cfRule type="cellIs" dxfId="15" priority="6" stopIfTrue="1" operator="lessThan">
      <formula>0</formula>
    </cfRule>
  </conditionalFormatting>
  <conditionalFormatting sqref="B24:D24">
    <cfRule type="cellIs" dxfId="14" priority="1" stopIfTrue="1" operator="lessThan">
      <formula>0</formula>
    </cfRule>
    <cfRule type="cellIs" dxfId="13" priority="2" stopIfTrue="1" operator="lessThan">
      <formula>0</formula>
    </cfRule>
    <cfRule type="cellIs" dxfId="12" priority="3" stopIfTrue="1" operator="lessThan">
      <formula>0</formula>
    </cfRule>
  </conditionalFormatting>
  <pageMargins left="0.39370078740157483" right="0.39370078740157483" top="0.39370078740157483" bottom="0.39370078740157483" header="0.51181102362204722" footer="0.51181102362204722"/>
  <pageSetup paperSize="9" scale="70"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O64"/>
  <sheetViews>
    <sheetView topLeftCell="A22" zoomScale="75" zoomScaleNormal="75" zoomScalePageLayoutView="75" workbookViewId="0">
      <selection activeCell="B45" sqref="B45:D45"/>
    </sheetView>
  </sheetViews>
  <sheetFormatPr baseColWidth="10" defaultColWidth="11.42578125" defaultRowHeight="12.75" x14ac:dyDescent="0.2"/>
  <cols>
    <col min="1" max="1" width="38.85546875" style="5" customWidth="1"/>
    <col min="2" max="4" width="12.7109375" style="5" customWidth="1"/>
    <col min="5" max="7" width="7.7109375" style="5" customWidth="1"/>
    <col min="8" max="8" width="19.140625" style="5" customWidth="1"/>
    <col min="9" max="9" width="11.42578125" style="5"/>
    <col min="10" max="10" width="20.42578125" style="5" customWidth="1"/>
    <col min="11" max="12" width="11.42578125" style="5"/>
    <col min="13" max="13" width="13.42578125" style="5" customWidth="1"/>
    <col min="14" max="14" width="14.42578125" style="5" customWidth="1"/>
    <col min="15" max="16384" width="11.42578125" style="5"/>
  </cols>
  <sheetData>
    <row r="1" spans="1:15" ht="27" customHeight="1" x14ac:dyDescent="0.2">
      <c r="A1" s="160" t="s">
        <v>79</v>
      </c>
      <c r="B1" s="160"/>
      <c r="C1" s="160"/>
      <c r="D1" s="160"/>
      <c r="E1" s="160"/>
      <c r="F1" s="160"/>
      <c r="G1" s="160"/>
      <c r="H1" s="160"/>
      <c r="I1" s="160"/>
      <c r="J1" s="160"/>
      <c r="K1" s="160"/>
      <c r="L1" s="160"/>
      <c r="M1" s="160"/>
      <c r="N1" s="160"/>
    </row>
    <row r="2" spans="1:15" ht="15.75" x14ac:dyDescent="0.25">
      <c r="A2" s="164" t="s">
        <v>100</v>
      </c>
      <c r="B2" s="164"/>
      <c r="C2" s="164"/>
      <c r="D2" s="164"/>
      <c r="E2" s="164"/>
      <c r="F2" s="164"/>
      <c r="G2" s="164"/>
      <c r="H2" s="164"/>
      <c r="I2" s="164"/>
      <c r="J2" s="164"/>
      <c r="K2" s="164"/>
      <c r="L2" s="164"/>
      <c r="M2" s="164"/>
      <c r="N2" s="164"/>
    </row>
    <row r="3" spans="1:15" x14ac:dyDescent="0.2">
      <c r="A3" s="95"/>
    </row>
    <row r="4" spans="1:15" x14ac:dyDescent="0.2">
      <c r="A4" s="12"/>
      <c r="B4" s="8"/>
      <c r="C4" s="8"/>
      <c r="D4" s="8"/>
      <c r="E4" s="8" t="s">
        <v>0</v>
      </c>
      <c r="F4" s="8"/>
      <c r="G4" s="11">
        <v>0.25</v>
      </c>
      <c r="H4" s="8"/>
      <c r="I4" s="8"/>
      <c r="J4" s="8"/>
      <c r="K4" s="8"/>
      <c r="L4" s="8"/>
      <c r="M4" s="8"/>
      <c r="N4" s="8"/>
    </row>
    <row r="5" spans="1:15" x14ac:dyDescent="0.2">
      <c r="A5" s="8"/>
      <c r="B5" s="8"/>
      <c r="C5" s="8"/>
      <c r="D5" s="8"/>
      <c r="E5" s="8"/>
      <c r="F5" s="8"/>
      <c r="G5" s="8"/>
      <c r="H5" s="8"/>
      <c r="I5" s="8"/>
      <c r="J5" s="8"/>
      <c r="K5" s="8"/>
      <c r="L5" s="8"/>
      <c r="M5" s="8"/>
      <c r="N5" s="8"/>
    </row>
    <row r="6" spans="1:15" ht="13.5" thickBot="1" x14ac:dyDescent="0.25">
      <c r="A6" s="12"/>
      <c r="B6" s="13" t="s">
        <v>1</v>
      </c>
      <c r="C6" s="13" t="s">
        <v>2</v>
      </c>
      <c r="D6" s="14" t="s">
        <v>3</v>
      </c>
      <c r="E6" s="8"/>
      <c r="F6" s="8"/>
      <c r="G6" s="8"/>
      <c r="H6" s="8"/>
      <c r="I6" s="8"/>
      <c r="J6" s="8"/>
      <c r="K6" s="8"/>
      <c r="L6" s="8"/>
      <c r="M6" s="8"/>
      <c r="N6" s="8"/>
    </row>
    <row r="7" spans="1:15" x14ac:dyDescent="0.2">
      <c r="A7" s="8"/>
      <c r="B7" s="15" t="s">
        <v>4</v>
      </c>
      <c r="C7" s="15" t="s">
        <v>4</v>
      </c>
      <c r="D7" s="15" t="s">
        <v>4</v>
      </c>
      <c r="E7" s="8"/>
      <c r="F7" s="8"/>
      <c r="G7" s="8"/>
      <c r="H7" s="153" t="s">
        <v>5</v>
      </c>
      <c r="I7" s="154"/>
      <c r="J7" s="154"/>
      <c r="K7" s="154"/>
      <c r="L7" s="154"/>
      <c r="M7" s="154"/>
      <c r="N7" s="155"/>
    </row>
    <row r="8" spans="1:15" ht="26.25" x14ac:dyDescent="0.25">
      <c r="A8" s="16" t="s">
        <v>6</v>
      </c>
      <c r="B8" s="96">
        <f>N14</f>
        <v>129114</v>
      </c>
      <c r="C8" s="96">
        <f>B8*1.22</f>
        <v>157519.07999999999</v>
      </c>
      <c r="D8" s="96">
        <f>C8*1.55</f>
        <v>244154.57399999999</v>
      </c>
      <c r="E8" s="19">
        <f>C8/B8</f>
        <v>1.22</v>
      </c>
      <c r="F8" s="19">
        <f>D8/C8</f>
        <v>1.55</v>
      </c>
      <c r="G8" s="19"/>
      <c r="H8" s="20" t="s">
        <v>36</v>
      </c>
      <c r="I8" s="21" t="s">
        <v>42</v>
      </c>
      <c r="J8" s="21" t="s">
        <v>45</v>
      </c>
      <c r="K8" s="22" t="s">
        <v>38</v>
      </c>
      <c r="L8" s="22" t="s">
        <v>40</v>
      </c>
      <c r="M8" s="15" t="s">
        <v>7</v>
      </c>
      <c r="N8" s="23" t="s">
        <v>8</v>
      </c>
    </row>
    <row r="9" spans="1:15" ht="25.5" x14ac:dyDescent="0.2">
      <c r="A9" s="24" t="s">
        <v>10</v>
      </c>
      <c r="B9" s="106">
        <f>+'2-CR équilibre'!B9</f>
        <v>18000</v>
      </c>
      <c r="C9" s="106">
        <f>+'2-CR équilibre'!C9</f>
        <v>22000</v>
      </c>
      <c r="D9" s="106">
        <f>+'2-CR équilibre'!D9</f>
        <v>42000</v>
      </c>
      <c r="E9" s="19">
        <f>C9/B9</f>
        <v>1.2222222222222223</v>
      </c>
      <c r="F9" s="19">
        <f>D9/C9</f>
        <v>1.9090909090909092</v>
      </c>
      <c r="G9" s="19"/>
      <c r="H9" s="26" t="s">
        <v>37</v>
      </c>
      <c r="I9" s="101">
        <v>20</v>
      </c>
      <c r="J9" s="88">
        <f>'2-CR équilibre'!J9-('2-CR équilibre'!J9*10%)</f>
        <v>1872</v>
      </c>
      <c r="K9" s="61">
        <f>(J9*I9)</f>
        <v>37440</v>
      </c>
      <c r="L9" s="97">
        <f>'2-CR équilibre'!L9</f>
        <v>7.0000000000000007E-2</v>
      </c>
      <c r="M9" s="61">
        <f>K9+(K9*L9)</f>
        <v>40060.800000000003</v>
      </c>
      <c r="N9" s="96">
        <f t="shared" ref="N9:N14" si="0">M9/1.07</f>
        <v>37440</v>
      </c>
      <c r="O9" s="29"/>
    </row>
    <row r="10" spans="1:15" s="32" customFormat="1" x14ac:dyDescent="0.2">
      <c r="A10" s="24" t="s">
        <v>14</v>
      </c>
      <c r="B10" s="99">
        <f>93800*0.9</f>
        <v>84420</v>
      </c>
      <c r="C10" s="99">
        <f>189000+0.9</f>
        <v>189000.9</v>
      </c>
      <c r="D10" s="99">
        <f>310000*0.9</f>
        <v>279000</v>
      </c>
      <c r="E10" s="117">
        <f>B11/B8</f>
        <v>0.20674752544263209</v>
      </c>
      <c r="F10" s="117">
        <f>C11/C8</f>
        <v>-0.33952597996382411</v>
      </c>
      <c r="G10" s="12"/>
      <c r="H10" s="26" t="s">
        <v>39</v>
      </c>
      <c r="I10" s="101">
        <v>27</v>
      </c>
      <c r="J10" s="88">
        <f>'2-CR équilibre'!J10-('2-CR équilibre'!J10*10%)</f>
        <v>414</v>
      </c>
      <c r="K10" s="61">
        <f>(J10*I10)</f>
        <v>11178</v>
      </c>
      <c r="L10" s="97">
        <f>'2-CR équilibre'!L10</f>
        <v>7.0000000000000007E-2</v>
      </c>
      <c r="M10" s="61">
        <f>K10+(K10*L10)</f>
        <v>11960.46</v>
      </c>
      <c r="N10" s="96">
        <f t="shared" si="0"/>
        <v>11177.999999999998</v>
      </c>
      <c r="O10" s="29"/>
    </row>
    <row r="11" spans="1:15" ht="26.25" x14ac:dyDescent="0.25">
      <c r="A11" s="16" t="s">
        <v>11</v>
      </c>
      <c r="B11" s="69">
        <f>+B8-B9-B10</f>
        <v>26694</v>
      </c>
      <c r="C11" s="69">
        <f>+C8-C9-C10</f>
        <v>-53481.820000000007</v>
      </c>
      <c r="D11" s="69">
        <f>+D8-D9-D10</f>
        <v>-76845.426000000007</v>
      </c>
      <c r="E11" s="8"/>
      <c r="F11" s="8"/>
      <c r="G11" s="8"/>
      <c r="H11" s="26" t="s">
        <v>41</v>
      </c>
      <c r="I11" s="101">
        <v>26</v>
      </c>
      <c r="J11" s="88">
        <f>'2-CR équilibre'!J11-('2-CR équilibre'!J11*10%)</f>
        <v>1296</v>
      </c>
      <c r="K11" s="61">
        <f>(J11*I11)</f>
        <v>33696</v>
      </c>
      <c r="L11" s="97">
        <f>'2-CR équilibre'!L11</f>
        <v>7.0000000000000007E-2</v>
      </c>
      <c r="M11" s="61">
        <f>K11+(K11*L11)</f>
        <v>36054.720000000001</v>
      </c>
      <c r="N11" s="96">
        <f t="shared" si="0"/>
        <v>33696</v>
      </c>
      <c r="O11" s="29"/>
    </row>
    <row r="12" spans="1:15" x14ac:dyDescent="0.2">
      <c r="A12" s="24" t="str">
        <f>'2-CR équilibre'!A12</f>
        <v>Autres charges externes</v>
      </c>
      <c r="B12" s="25">
        <f>+B45</f>
        <v>44329.599999999999</v>
      </c>
      <c r="C12" s="25">
        <f>+C45</f>
        <v>68588.110459999996</v>
      </c>
      <c r="D12" s="25">
        <f>+D45</f>
        <v>83016.221212999997</v>
      </c>
      <c r="E12" s="8"/>
      <c r="F12" s="8"/>
      <c r="G12" s="8"/>
      <c r="H12" s="26" t="s">
        <v>44</v>
      </c>
      <c r="I12" s="101">
        <v>7</v>
      </c>
      <c r="J12" s="88">
        <f>'2-CR équilibre'!J12-('2-CR équilibre'!J12*10%)</f>
        <v>5616</v>
      </c>
      <c r="K12" s="61">
        <f>(J12*I12)</f>
        <v>39312</v>
      </c>
      <c r="L12" s="97">
        <f>'2-CR équilibre'!L12</f>
        <v>7.0000000000000007E-2</v>
      </c>
      <c r="M12" s="61">
        <f>K12+(K12*L12)</f>
        <v>42063.839999999997</v>
      </c>
      <c r="N12" s="96">
        <f t="shared" si="0"/>
        <v>39311.999999999993</v>
      </c>
      <c r="O12" s="29"/>
    </row>
    <row r="13" spans="1:15" x14ac:dyDescent="0.2">
      <c r="A13" s="24" t="str">
        <f>'2-CR équilibre'!A13</f>
        <v>Impôts et taxes</v>
      </c>
      <c r="B13" s="25">
        <f>'2-CR équilibre'!B13</f>
        <v>3000</v>
      </c>
      <c r="C13" s="25">
        <f>'2-CR équilibre'!C13</f>
        <v>4000</v>
      </c>
      <c r="D13" s="25">
        <f>'2-CR équilibre'!D13</f>
        <v>5000</v>
      </c>
      <c r="E13" s="8"/>
      <c r="F13" s="8"/>
      <c r="G13" s="8"/>
      <c r="H13" s="26" t="s">
        <v>43</v>
      </c>
      <c r="I13" s="102">
        <v>8</v>
      </c>
      <c r="J13" s="88">
        <f>'2-CR équilibre'!J13-('2-CR équilibre'!J13*10%)</f>
        <v>936</v>
      </c>
      <c r="K13" s="61">
        <f>(J13*I13)</f>
        <v>7488</v>
      </c>
      <c r="L13" s="97">
        <f>'2-CR équilibre'!L13</f>
        <v>7.0000000000000007E-2</v>
      </c>
      <c r="M13" s="61">
        <f>K13+(K13*L13)</f>
        <v>8012.16</v>
      </c>
      <c r="N13" s="96">
        <f t="shared" si="0"/>
        <v>7487.9999999999991</v>
      </c>
      <c r="O13" s="29"/>
    </row>
    <row r="14" spans="1:15" ht="13.5" thickBot="1" x14ac:dyDescent="0.25">
      <c r="A14" s="24" t="str">
        <f>'2-CR équilibre'!A14</f>
        <v>Intérêt emprunts</v>
      </c>
      <c r="B14" s="25">
        <f>'2-CR équilibre'!B14</f>
        <v>1842</v>
      </c>
      <c r="C14" s="25">
        <f>'2-CR équilibre'!C14</f>
        <v>1561</v>
      </c>
      <c r="D14" s="25">
        <f>'2-CR équilibre'!D14</f>
        <v>1279</v>
      </c>
      <c r="E14" s="8"/>
      <c r="F14" s="8"/>
      <c r="G14" s="8"/>
      <c r="H14" s="168" t="s">
        <v>15</v>
      </c>
      <c r="I14" s="169"/>
      <c r="J14" s="169"/>
      <c r="K14" s="169"/>
      <c r="L14" s="170"/>
      <c r="M14" s="67">
        <f>SUM(M9:M13)</f>
        <v>138151.98000000001</v>
      </c>
      <c r="N14" s="96">
        <f t="shared" si="0"/>
        <v>129114</v>
      </c>
    </row>
    <row r="15" spans="1:15" x14ac:dyDescent="0.2">
      <c r="A15" s="24" t="str">
        <f>'2-CR équilibre'!A15</f>
        <v>Capital emprunt</v>
      </c>
      <c r="B15" s="91">
        <f>'2-CR équilibre'!B15</f>
        <v>0</v>
      </c>
      <c r="C15" s="91">
        <f>'2-CR équilibre'!C15</f>
        <v>0</v>
      </c>
      <c r="D15" s="91">
        <f>'2-CR équilibre'!D15</f>
        <v>0</v>
      </c>
      <c r="E15" s="41"/>
      <c r="F15" s="41"/>
      <c r="G15" s="8"/>
      <c r="H15" s="8"/>
      <c r="I15" s="8"/>
      <c r="J15" s="8"/>
      <c r="K15" s="8"/>
      <c r="L15" s="8"/>
      <c r="M15" s="8"/>
      <c r="N15" s="8"/>
    </row>
    <row r="16" spans="1:15" ht="15.75" x14ac:dyDescent="0.25">
      <c r="A16" s="92" t="str">
        <f>'2-CR équilibre'!A16</f>
        <v>Reste à vivre</v>
      </c>
      <c r="B16" s="70">
        <f>-SUM(B12:B15)+B11</f>
        <v>-22477.599999999999</v>
      </c>
      <c r="C16" s="70">
        <f>-SUM(C12:C15)+C11</f>
        <v>-127630.93046</v>
      </c>
      <c r="D16" s="70">
        <f>-SUM(D12:D15)+D11</f>
        <v>-166140.64721299999</v>
      </c>
      <c r="E16" s="41"/>
      <c r="F16" s="41"/>
      <c r="G16" s="8"/>
      <c r="H16" s="8"/>
      <c r="I16" s="8"/>
      <c r="J16" s="8"/>
      <c r="K16" s="8"/>
      <c r="L16" s="8"/>
      <c r="M16" s="8"/>
      <c r="N16" s="8"/>
    </row>
    <row r="17" spans="1:14" s="32" customFormat="1" x14ac:dyDescent="0.2">
      <c r="A17" s="92" t="str">
        <f>'2-CR équilibre'!A17</f>
        <v>Soit par mois</v>
      </c>
      <c r="B17" s="71">
        <f>B16/12</f>
        <v>-1873.1333333333332</v>
      </c>
      <c r="C17" s="71">
        <f>C16/12</f>
        <v>-10635.910871666667</v>
      </c>
      <c r="D17" s="71">
        <f>D16/12</f>
        <v>-13845.053934416666</v>
      </c>
      <c r="E17" s="12"/>
      <c r="F17" s="12"/>
      <c r="G17" s="12"/>
      <c r="H17" s="12"/>
      <c r="I17" s="12"/>
      <c r="J17" s="12"/>
      <c r="K17" s="12"/>
      <c r="L17" s="12"/>
      <c r="M17" s="12"/>
      <c r="N17" s="12"/>
    </row>
    <row r="18" spans="1:14" x14ac:dyDescent="0.2">
      <c r="A18" s="24" t="s">
        <v>16</v>
      </c>
      <c r="B18" s="99">
        <f>+B19*0.5</f>
        <v>5700</v>
      </c>
      <c r="C18" s="99">
        <f>+C19*0.5</f>
        <v>9000</v>
      </c>
      <c r="D18" s="99">
        <f>+D19*0.5</f>
        <v>12500</v>
      </c>
      <c r="E18" s="8"/>
      <c r="F18" s="8"/>
      <c r="G18" s="8"/>
      <c r="H18" s="8"/>
      <c r="I18" s="8"/>
      <c r="J18" s="8"/>
      <c r="K18" s="8"/>
      <c r="L18" s="8"/>
      <c r="M18" s="8"/>
      <c r="N18" s="8"/>
    </row>
    <row r="19" spans="1:14" ht="23.25" customHeight="1" x14ac:dyDescent="0.2">
      <c r="A19" s="45" t="str">
        <f>'2-CR équilibre'!A19</f>
        <v>Prélèvement exploitant/AN</v>
      </c>
      <c r="B19" s="72">
        <f>+'2-CR équilibre'!B19</f>
        <v>11400</v>
      </c>
      <c r="C19" s="72">
        <f>+'2-CR équilibre'!C19</f>
        <v>18000</v>
      </c>
      <c r="D19" s="72">
        <f>+'2-CR équilibre'!D19</f>
        <v>25000</v>
      </c>
      <c r="E19" s="8"/>
      <c r="F19" s="8"/>
      <c r="G19" s="8"/>
      <c r="H19" s="8"/>
      <c r="I19" s="8"/>
      <c r="J19" s="8"/>
      <c r="K19" s="8"/>
      <c r="L19" s="8"/>
      <c r="M19" s="8"/>
      <c r="N19" s="8"/>
    </row>
    <row r="20" spans="1:14" ht="15.75" x14ac:dyDescent="0.25">
      <c r="A20" s="40" t="str">
        <f>'2-CR équilibre'!A20</f>
        <v>Soit revenu mensuel</v>
      </c>
      <c r="B20" s="73">
        <f>B19/12</f>
        <v>950</v>
      </c>
      <c r="C20" s="73">
        <f>C19/12</f>
        <v>1500</v>
      </c>
      <c r="D20" s="74">
        <f>D19/12</f>
        <v>2083.3333333333335</v>
      </c>
      <c r="E20" s="8"/>
      <c r="F20" s="8"/>
      <c r="G20" s="8"/>
      <c r="H20" s="8"/>
      <c r="I20" s="8"/>
      <c r="J20" s="8"/>
      <c r="K20" s="8"/>
      <c r="L20" s="8"/>
      <c r="M20" s="8"/>
      <c r="N20" s="8"/>
    </row>
    <row r="21" spans="1:14" ht="21" thickBot="1" x14ac:dyDescent="0.35">
      <c r="A21" s="93" t="s">
        <v>64</v>
      </c>
      <c r="B21" s="75">
        <f>+B11-B12-B13-B14-B19-B18</f>
        <v>-39577.599999999999</v>
      </c>
      <c r="C21" s="75">
        <f>+C11-C12-C13-C14-C19-C18</f>
        <v>-154630.93046</v>
      </c>
      <c r="D21" s="75">
        <f>+D11-D12-D13-D14-D19-D18</f>
        <v>-203640.64721299999</v>
      </c>
      <c r="E21" s="8"/>
      <c r="F21" s="8"/>
      <c r="G21" s="8"/>
      <c r="H21" s="8"/>
      <c r="I21" s="8"/>
      <c r="J21" s="8"/>
      <c r="K21" s="8"/>
      <c r="L21" s="8"/>
      <c r="M21" s="8"/>
      <c r="N21" s="8"/>
    </row>
    <row r="22" spans="1:14" ht="24" customHeight="1" thickBot="1" x14ac:dyDescent="0.3">
      <c r="A22" s="47" t="s">
        <v>65</v>
      </c>
      <c r="B22" s="75"/>
      <c r="C22" s="75">
        <f>+B21+C21</f>
        <v>-194208.53046000001</v>
      </c>
      <c r="D22" s="75">
        <f>+C22+D21</f>
        <v>-397849.17767300003</v>
      </c>
      <c r="E22" s="8"/>
      <c r="F22" s="8"/>
      <c r="G22" s="8"/>
      <c r="H22" s="8"/>
      <c r="I22" s="8"/>
      <c r="J22" s="8"/>
      <c r="K22" s="8"/>
      <c r="L22" s="8"/>
      <c r="M22" s="8"/>
      <c r="N22" s="8"/>
    </row>
    <row r="23" spans="1:14" x14ac:dyDescent="0.2">
      <c r="A23" s="12"/>
      <c r="B23" s="48"/>
      <c r="C23" s="48"/>
      <c r="D23" s="48"/>
      <c r="E23" s="8"/>
      <c r="F23" s="8"/>
      <c r="G23" s="8"/>
      <c r="H23" s="8"/>
      <c r="I23" s="8"/>
      <c r="J23" s="8"/>
      <c r="K23" s="8"/>
      <c r="L23" s="8"/>
      <c r="M23" s="8"/>
      <c r="N23" s="8"/>
    </row>
    <row r="24" spans="1:14" x14ac:dyDescent="0.2">
      <c r="A24" s="12" t="s">
        <v>23</v>
      </c>
      <c r="B24" s="48"/>
      <c r="C24" s="48"/>
      <c r="D24" s="48"/>
      <c r="E24" s="8"/>
      <c r="F24" s="8"/>
      <c r="G24" s="8"/>
      <c r="H24" s="8"/>
      <c r="I24" s="8"/>
      <c r="J24" s="8"/>
      <c r="K24" s="8"/>
      <c r="L24" s="8"/>
      <c r="M24" s="8"/>
      <c r="N24" s="8"/>
    </row>
    <row r="25" spans="1:14" x14ac:dyDescent="0.2">
      <c r="A25" s="12"/>
      <c r="B25" s="13" t="s">
        <v>1</v>
      </c>
      <c r="C25" s="49" t="s">
        <v>2</v>
      </c>
      <c r="D25" s="50" t="s">
        <v>3</v>
      </c>
      <c r="E25" s="8"/>
      <c r="F25" s="8"/>
      <c r="G25" s="8"/>
      <c r="H25" s="8"/>
      <c r="I25" s="8"/>
      <c r="J25" s="8"/>
      <c r="K25" s="8"/>
      <c r="L25" s="8"/>
      <c r="M25" s="8"/>
      <c r="N25" s="8"/>
    </row>
    <row r="26" spans="1:14" x14ac:dyDescent="0.2">
      <c r="A26" s="8"/>
      <c r="B26" s="126" t="s">
        <v>4</v>
      </c>
      <c r="C26" s="127" t="s">
        <v>4</v>
      </c>
      <c r="D26" s="127" t="s">
        <v>4</v>
      </c>
      <c r="E26" s="8"/>
      <c r="F26" s="8"/>
      <c r="G26" s="52"/>
      <c r="H26" s="52"/>
      <c r="I26" s="8"/>
      <c r="J26" s="8"/>
      <c r="K26" s="8"/>
      <c r="L26" s="8"/>
      <c r="M26" s="8"/>
      <c r="N26" s="8"/>
    </row>
    <row r="27" spans="1:14" x14ac:dyDescent="0.2">
      <c r="A27" s="128" t="str">
        <f>'2-CR équilibre'!A27</f>
        <v>Energie</v>
      </c>
      <c r="B27" s="55">
        <f>'2-CR équilibre'!B27</f>
        <v>240</v>
      </c>
      <c r="C27" s="55">
        <f>'2-CR équilibre'!C27</f>
        <v>252</v>
      </c>
      <c r="D27" s="55">
        <f>'2-CR équilibre'!D27</f>
        <v>265</v>
      </c>
      <c r="E27" s="8"/>
      <c r="F27" s="8"/>
      <c r="G27" s="8"/>
      <c r="H27" s="8"/>
      <c r="I27" s="8"/>
      <c r="J27" s="8"/>
      <c r="K27" s="8"/>
      <c r="L27" s="8"/>
      <c r="M27" s="8"/>
      <c r="N27" s="8"/>
    </row>
    <row r="28" spans="1:14" x14ac:dyDescent="0.2">
      <c r="A28" s="129" t="str">
        <f>'2-CR équilibre'!A28</f>
        <v>Produit entretien</v>
      </c>
      <c r="B28" s="56">
        <f>'2-CR équilibre'!B28</f>
        <v>50</v>
      </c>
      <c r="C28" s="56">
        <f>'2-CR équilibre'!C28</f>
        <v>102</v>
      </c>
      <c r="D28" s="56">
        <f>'2-CR équilibre'!D28</f>
        <v>100</v>
      </c>
      <c r="E28" s="8"/>
      <c r="F28" s="8"/>
      <c r="G28" s="8"/>
      <c r="H28" s="8"/>
      <c r="I28" s="8"/>
      <c r="J28" s="8"/>
      <c r="K28" s="8"/>
      <c r="L28" s="8"/>
      <c r="M28" s="8"/>
      <c r="N28" s="8"/>
    </row>
    <row r="29" spans="1:14" x14ac:dyDescent="0.2">
      <c r="A29" s="129" t="str">
        <f>'2-CR équilibre'!A29</f>
        <v>Fournitures diverses</v>
      </c>
      <c r="B29" s="56">
        <f>'2-CR équilibre'!B29</f>
        <v>500</v>
      </c>
      <c r="C29" s="56">
        <f>'2-CR équilibre'!C29</f>
        <v>525</v>
      </c>
      <c r="D29" s="56">
        <f>'2-CR équilibre'!D29</f>
        <v>551</v>
      </c>
      <c r="E29" s="8"/>
      <c r="F29" s="8"/>
      <c r="G29" s="8"/>
      <c r="H29" s="8"/>
      <c r="I29" s="8"/>
      <c r="J29" s="8"/>
      <c r="K29" s="8"/>
      <c r="L29" s="8"/>
      <c r="M29" s="8"/>
      <c r="N29" s="8"/>
    </row>
    <row r="30" spans="1:14" x14ac:dyDescent="0.2">
      <c r="A30" s="129" t="str">
        <f>'2-CR équilibre'!A30</f>
        <v>Assurances</v>
      </c>
      <c r="B30" s="56">
        <f>'2-CR équilibre'!B30</f>
        <v>392.10400000000004</v>
      </c>
      <c r="C30" s="56">
        <f>'2-CR équilibre'!C30</f>
        <v>834.04441840000004</v>
      </c>
      <c r="D30" s="56">
        <f>'2-CR équilibre'!D30</f>
        <v>1292.7688485200001</v>
      </c>
      <c r="E30" s="8"/>
      <c r="F30" s="8"/>
      <c r="G30" s="8"/>
      <c r="H30" s="8"/>
      <c r="I30" s="8"/>
      <c r="J30" s="8"/>
      <c r="K30" s="8"/>
      <c r="L30" s="8"/>
      <c r="M30" s="8"/>
      <c r="N30" s="8"/>
    </row>
    <row r="31" spans="1:14" x14ac:dyDescent="0.2">
      <c r="A31" s="129" t="str">
        <f>'2-CR équilibre'!A31</f>
        <v>Honoraires</v>
      </c>
      <c r="B31" s="56">
        <f>'2-CR équilibre'!B31</f>
        <v>2500</v>
      </c>
      <c r="C31" s="56">
        <f>'2-CR équilibre'!C31</f>
        <v>2500</v>
      </c>
      <c r="D31" s="56">
        <f>'2-CR équilibre'!D31</f>
        <v>2500</v>
      </c>
      <c r="E31" s="8"/>
      <c r="F31" s="8"/>
      <c r="G31" s="8"/>
      <c r="H31" s="8"/>
      <c r="I31" s="8"/>
      <c r="J31" s="8"/>
      <c r="K31" s="8"/>
      <c r="L31" s="8"/>
      <c r="M31" s="8"/>
      <c r="N31" s="8"/>
    </row>
    <row r="32" spans="1:14" x14ac:dyDescent="0.2">
      <c r="A32" s="129" t="str">
        <f>'2-CR équilibre'!A32</f>
        <v>Téléphone</v>
      </c>
      <c r="B32" s="56">
        <f>'2-CR équilibre'!B32</f>
        <v>0</v>
      </c>
      <c r="C32" s="56">
        <f>'2-CR équilibre'!C32</f>
        <v>0</v>
      </c>
      <c r="D32" s="56">
        <f>'2-CR équilibre'!D32</f>
        <v>0</v>
      </c>
      <c r="E32" s="8"/>
      <c r="F32" s="8"/>
      <c r="G32" s="8"/>
      <c r="H32" s="8"/>
      <c r="I32" s="8"/>
      <c r="J32" s="8"/>
      <c r="K32" s="8"/>
      <c r="L32" s="8"/>
      <c r="M32" s="8"/>
      <c r="N32" s="8"/>
    </row>
    <row r="33" spans="1:14" x14ac:dyDescent="0.2">
      <c r="A33" s="129" t="str">
        <f>'2-CR équilibre'!A33</f>
        <v>Loyer</v>
      </c>
      <c r="B33" s="56">
        <f>'2-CR équilibre'!B33</f>
        <v>6900</v>
      </c>
      <c r="C33" s="56">
        <f>'2-CR équilibre'!C33</f>
        <v>6900</v>
      </c>
      <c r="D33" s="56">
        <f>'2-CR équilibre'!D33</f>
        <v>6900</v>
      </c>
      <c r="E33" s="8"/>
      <c r="F33" s="8"/>
      <c r="G33" s="8"/>
      <c r="H33" s="8"/>
      <c r="I33" s="8"/>
      <c r="J33" s="8"/>
      <c r="K33" s="8"/>
      <c r="L33" s="8"/>
      <c r="M33" s="8"/>
      <c r="N33" s="8"/>
    </row>
    <row r="34" spans="1:14" x14ac:dyDescent="0.2">
      <c r="A34" s="130" t="str">
        <f>'2-CR équilibre'!A34</f>
        <v>Leasing véhicule</v>
      </c>
      <c r="B34" s="56">
        <f>'2-CR équilibre'!B34</f>
        <v>7767</v>
      </c>
      <c r="C34" s="56">
        <f>'2-CR équilibre'!C34</f>
        <v>14600</v>
      </c>
      <c r="D34" s="56">
        <f>'2-CR équilibre'!D34</f>
        <v>14600</v>
      </c>
      <c r="E34" s="8"/>
      <c r="F34" s="8"/>
      <c r="G34" s="8"/>
      <c r="H34" s="8"/>
      <c r="I34" s="8"/>
      <c r="J34" s="8"/>
      <c r="K34" s="8"/>
      <c r="L34" s="8"/>
      <c r="M34" s="8"/>
      <c r="N34" s="8"/>
    </row>
    <row r="35" spans="1:14" x14ac:dyDescent="0.2">
      <c r="A35" s="129" t="str">
        <f>'2-CR équilibre'!A35</f>
        <v>Publicité</v>
      </c>
      <c r="B35" s="56">
        <f>'2-CR équilibre'!B35</f>
        <v>5000</v>
      </c>
      <c r="C35" s="56">
        <f>'2-CR équilibre'!C35</f>
        <v>3000</v>
      </c>
      <c r="D35" s="56">
        <f>'2-CR équilibre'!D35</f>
        <v>2000</v>
      </c>
      <c r="E35" s="8"/>
      <c r="F35" s="8"/>
      <c r="G35" s="8"/>
      <c r="H35" s="8"/>
      <c r="I35" s="8"/>
      <c r="J35" s="8"/>
      <c r="K35" s="8"/>
      <c r="L35" s="8"/>
      <c r="M35" s="8"/>
      <c r="N35" s="8"/>
    </row>
    <row r="36" spans="1:14" x14ac:dyDescent="0.2">
      <c r="A36" s="129" t="str">
        <f>'2-CR équilibre'!A36</f>
        <v>Services bancaires</v>
      </c>
      <c r="B36" s="56">
        <f>'2-CR équilibre'!B36</f>
        <v>950</v>
      </c>
      <c r="C36" s="56">
        <f>'2-CR équilibre'!C36</f>
        <v>1938</v>
      </c>
      <c r="D36" s="56">
        <f>'2-CR équilibre'!D36</f>
        <v>2500</v>
      </c>
      <c r="E36" s="8"/>
      <c r="F36" s="8"/>
      <c r="G36" s="8"/>
      <c r="H36" s="8"/>
      <c r="I36" s="8"/>
      <c r="J36" s="8"/>
      <c r="K36" s="8"/>
      <c r="L36" s="8"/>
      <c r="M36" s="8"/>
      <c r="N36" s="8"/>
    </row>
    <row r="37" spans="1:14" x14ac:dyDescent="0.2">
      <c r="A37" s="130" t="str">
        <f>'2-CR équilibre'!A37</f>
        <v>Carburant</v>
      </c>
      <c r="B37" s="56">
        <f>'2-CR équilibre'!B37</f>
        <v>4050</v>
      </c>
      <c r="C37" s="56">
        <f>'2-CR équilibre'!C37</f>
        <v>7500</v>
      </c>
      <c r="D37" s="56">
        <f>'2-CR équilibre'!D37</f>
        <v>7800</v>
      </c>
      <c r="E37" s="8"/>
      <c r="F37" s="8"/>
      <c r="G37" s="8"/>
      <c r="H37" s="8"/>
      <c r="I37" s="8"/>
      <c r="J37" s="8"/>
      <c r="K37" s="8"/>
      <c r="L37" s="8"/>
      <c r="M37" s="8"/>
      <c r="N37" s="8"/>
    </row>
    <row r="38" spans="1:14" x14ac:dyDescent="0.2">
      <c r="A38" s="130" t="str">
        <f>'2-CR équilibre'!A38</f>
        <v>Entretien véhicules</v>
      </c>
      <c r="B38" s="56">
        <f>'2-CR équilibre'!B38</f>
        <v>2070</v>
      </c>
      <c r="C38" s="56">
        <f>'2-CR équilibre'!C38</f>
        <v>4500</v>
      </c>
      <c r="D38" s="56">
        <f>'2-CR équilibre'!D38</f>
        <v>5800</v>
      </c>
      <c r="E38" s="8"/>
      <c r="F38" s="8"/>
      <c r="G38" s="8"/>
      <c r="H38" s="8"/>
      <c r="I38" s="8"/>
      <c r="J38" s="8"/>
      <c r="K38" s="8"/>
      <c r="L38" s="8"/>
      <c r="M38" s="8"/>
      <c r="N38" s="8"/>
    </row>
    <row r="39" spans="1:14" x14ac:dyDescent="0.2">
      <c r="A39" s="130" t="str">
        <f>'2-CR équilibre'!A39</f>
        <v>Frais déplacement</v>
      </c>
      <c r="B39" s="56">
        <f>'2-CR équilibre'!B39</f>
        <v>500</v>
      </c>
      <c r="C39" s="56">
        <f>'2-CR équilibre'!C39</f>
        <v>1020</v>
      </c>
      <c r="D39" s="56">
        <f>'2-CR équilibre'!D39</f>
        <v>1581</v>
      </c>
      <c r="E39" s="8"/>
      <c r="F39" s="8"/>
      <c r="G39" s="8"/>
      <c r="H39" s="8"/>
      <c r="I39" s="8"/>
      <c r="J39" s="8"/>
      <c r="K39" s="8"/>
      <c r="L39" s="8"/>
      <c r="M39" s="8"/>
      <c r="N39" s="8"/>
    </row>
    <row r="40" spans="1:14" x14ac:dyDescent="0.2">
      <c r="A40" s="130" t="str">
        <f>'2-CR équilibre'!A40</f>
        <v>Frais formation</v>
      </c>
      <c r="B40" s="56">
        <f>'2-CR équilibre'!B40</f>
        <v>2000</v>
      </c>
      <c r="C40" s="56">
        <f>'2-CR équilibre'!C40</f>
        <v>2000</v>
      </c>
      <c r="D40" s="56">
        <f>'2-CR équilibre'!D40</f>
        <v>2000</v>
      </c>
      <c r="E40" s="8"/>
      <c r="F40" s="8"/>
      <c r="G40" s="8"/>
      <c r="H40" s="8"/>
      <c r="I40" s="8"/>
      <c r="J40" s="8"/>
      <c r="K40" s="8"/>
      <c r="L40" s="8"/>
      <c r="M40" s="8"/>
      <c r="N40" s="8"/>
    </row>
    <row r="41" spans="1:14" x14ac:dyDescent="0.2">
      <c r="A41" s="130" t="str">
        <f>'2-CR équilibre'!A41</f>
        <v>Redevance franchise 1% du CA</v>
      </c>
      <c r="B41" s="56">
        <f>'2-CR équilibre'!B41</f>
        <v>1568.4160000000002</v>
      </c>
      <c r="C41" s="56">
        <f>'2-CR équilibre'!C41</f>
        <v>3336.1776736000002</v>
      </c>
      <c r="D41" s="56">
        <f>'2-CR équilibre'!D41</f>
        <v>5171.0753940800005</v>
      </c>
      <c r="E41" s="8"/>
      <c r="F41" s="8"/>
      <c r="G41" s="8"/>
      <c r="H41" s="8"/>
      <c r="I41" s="8"/>
      <c r="J41" s="8"/>
      <c r="K41" s="8"/>
      <c r="L41" s="8"/>
      <c r="M41" s="8"/>
      <c r="N41" s="8"/>
    </row>
    <row r="42" spans="1:14" x14ac:dyDescent="0.2">
      <c r="A42" s="130" t="str">
        <f>'2-CR équilibre'!A42</f>
        <v>Redevance franchise 5% du CA</v>
      </c>
      <c r="B42" s="56">
        <f>'2-CR équilibre'!B42</f>
        <v>7842.0800000000008</v>
      </c>
      <c r="C42" s="56">
        <f>'2-CR équilibre'!C42</f>
        <v>16680.888368</v>
      </c>
      <c r="D42" s="56">
        <f>'2-CR équilibre'!D42</f>
        <v>25855.376970400001</v>
      </c>
      <c r="E42" s="8"/>
      <c r="F42" s="8"/>
      <c r="G42" s="8"/>
      <c r="H42" s="8"/>
      <c r="I42" s="8"/>
      <c r="J42" s="8"/>
      <c r="K42" s="8"/>
      <c r="L42" s="8"/>
      <c r="M42" s="8"/>
      <c r="N42" s="8"/>
    </row>
    <row r="43" spans="1:14" x14ac:dyDescent="0.2">
      <c r="A43" s="129" t="str">
        <f>'2-CR équilibre'!A43</f>
        <v>Affranchissements</v>
      </c>
      <c r="B43" s="56">
        <f>'2-CR équilibre'!B43</f>
        <v>2000</v>
      </c>
      <c r="C43" s="56">
        <f>'2-CR équilibre'!C43</f>
        <v>2900</v>
      </c>
      <c r="D43" s="56">
        <f>'2-CR équilibre'!D43</f>
        <v>4100</v>
      </c>
      <c r="E43" s="8"/>
      <c r="F43" s="8"/>
      <c r="G43" s="8"/>
      <c r="H43" s="8"/>
      <c r="I43" s="8"/>
      <c r="J43" s="8"/>
      <c r="K43" s="8"/>
      <c r="L43" s="8"/>
      <c r="M43" s="8"/>
      <c r="N43" s="8"/>
    </row>
    <row r="44" spans="1:14" x14ac:dyDescent="0.2">
      <c r="A44" s="129" t="str">
        <f>'2-CR équilibre'!A44</f>
        <v>Petit matériel</v>
      </c>
      <c r="B44" s="56">
        <f>'2-CR équilibre'!B44</f>
        <v>0</v>
      </c>
      <c r="C44" s="56">
        <f>'2-CR équilibre'!C44</f>
        <v>0</v>
      </c>
      <c r="D44" s="56">
        <f>'2-CR équilibre'!D44</f>
        <v>0</v>
      </c>
      <c r="E44" s="8"/>
      <c r="F44" s="8"/>
      <c r="G44" s="8"/>
      <c r="H44" s="8"/>
      <c r="I44" s="8"/>
      <c r="J44" s="8"/>
      <c r="K44" s="8"/>
      <c r="L44" s="8"/>
      <c r="M44" s="8"/>
      <c r="N44" s="8"/>
    </row>
    <row r="45" spans="1:14" x14ac:dyDescent="0.2">
      <c r="A45" s="58" t="s">
        <v>35</v>
      </c>
      <c r="B45" s="84">
        <f>SUM(B27:B44)</f>
        <v>44329.599999999999</v>
      </c>
      <c r="C45" s="84">
        <f>SUM(C27:C44)</f>
        <v>68588.110459999996</v>
      </c>
      <c r="D45" s="84">
        <f>SUM(D27:D44)</f>
        <v>83016.221212999997</v>
      </c>
      <c r="E45" s="8"/>
      <c r="F45" s="8"/>
      <c r="G45" s="8"/>
      <c r="H45" s="8"/>
      <c r="I45" s="8"/>
      <c r="J45" s="8"/>
      <c r="K45" s="8"/>
      <c r="L45" s="8"/>
      <c r="M45" s="8"/>
      <c r="N45" s="8"/>
    </row>
    <row r="46" spans="1:14" x14ac:dyDescent="0.2">
      <c r="A46" s="8"/>
      <c r="B46" s="41"/>
      <c r="C46" s="8"/>
      <c r="D46" s="8"/>
      <c r="E46" s="8"/>
      <c r="F46" s="8"/>
      <c r="G46" s="8"/>
      <c r="H46" s="8"/>
      <c r="I46" s="8"/>
      <c r="J46" s="8"/>
      <c r="K46" s="8"/>
      <c r="L46" s="8"/>
      <c r="M46" s="8"/>
      <c r="N46" s="8"/>
    </row>
    <row r="47" spans="1:14" x14ac:dyDescent="0.2">
      <c r="A47" s="8"/>
      <c r="B47" s="41"/>
      <c r="C47" s="8"/>
      <c r="D47" s="8"/>
      <c r="E47" s="8"/>
      <c r="F47" s="8"/>
      <c r="G47" s="8"/>
      <c r="H47" s="8"/>
      <c r="I47" s="8"/>
      <c r="J47" s="8"/>
      <c r="K47" s="8"/>
      <c r="L47" s="8"/>
      <c r="M47" s="8"/>
      <c r="N47" s="8"/>
    </row>
    <row r="48" spans="1:14" x14ac:dyDescent="0.2">
      <c r="A48" s="8"/>
      <c r="B48" s="41"/>
      <c r="C48" s="8"/>
      <c r="D48" s="8"/>
      <c r="E48" s="8"/>
      <c r="F48" s="8"/>
      <c r="G48" s="8"/>
      <c r="H48" s="8"/>
      <c r="I48" s="8"/>
      <c r="J48" s="8"/>
      <c r="K48" s="8"/>
      <c r="L48" s="8"/>
      <c r="M48" s="8"/>
      <c r="N48" s="8"/>
    </row>
    <row r="49" spans="1:14" x14ac:dyDescent="0.2">
      <c r="A49" s="8"/>
      <c r="B49" s="41"/>
      <c r="C49" s="8"/>
      <c r="D49" s="8"/>
      <c r="E49" s="8"/>
      <c r="F49" s="8"/>
      <c r="G49" s="8"/>
      <c r="H49" s="8"/>
      <c r="I49" s="8"/>
      <c r="J49" s="8"/>
      <c r="K49" s="8"/>
      <c r="L49" s="8"/>
      <c r="M49" s="8"/>
      <c r="N49" s="8"/>
    </row>
    <row r="50" spans="1:14" x14ac:dyDescent="0.2">
      <c r="A50" s="8"/>
      <c r="B50" s="41"/>
      <c r="C50" s="8"/>
      <c r="D50" s="8"/>
      <c r="E50" s="8"/>
      <c r="F50" s="8"/>
      <c r="G50" s="8"/>
      <c r="H50" s="8"/>
      <c r="I50" s="8"/>
      <c r="J50" s="8"/>
      <c r="K50" s="8"/>
      <c r="L50" s="8"/>
      <c r="M50" s="8"/>
      <c r="N50" s="8"/>
    </row>
    <row r="51" spans="1:14" x14ac:dyDescent="0.2">
      <c r="A51" s="8"/>
      <c r="B51" s="41"/>
      <c r="C51" s="8"/>
      <c r="D51" s="8"/>
      <c r="E51" s="8"/>
      <c r="F51" s="8"/>
      <c r="G51" s="8"/>
      <c r="H51" s="8"/>
      <c r="I51" s="8"/>
      <c r="J51" s="8"/>
      <c r="K51" s="8"/>
      <c r="L51" s="8"/>
      <c r="M51" s="8"/>
      <c r="N51" s="8"/>
    </row>
    <row r="52" spans="1:14" x14ac:dyDescent="0.2">
      <c r="A52" s="8"/>
      <c r="B52" s="41"/>
      <c r="C52" s="8"/>
      <c r="D52" s="8"/>
      <c r="E52" s="8"/>
      <c r="F52" s="8"/>
      <c r="G52" s="8"/>
      <c r="H52" s="8"/>
      <c r="I52" s="8"/>
      <c r="J52" s="8"/>
      <c r="K52" s="8"/>
      <c r="L52" s="8"/>
      <c r="M52" s="8"/>
      <c r="N52" s="8"/>
    </row>
    <row r="53" spans="1:14" x14ac:dyDescent="0.2">
      <c r="A53" s="8"/>
      <c r="B53" s="41"/>
      <c r="C53" s="8"/>
      <c r="D53" s="8"/>
      <c r="E53" s="8"/>
      <c r="F53" s="8"/>
      <c r="G53" s="8"/>
      <c r="H53" s="8"/>
      <c r="I53" s="8"/>
      <c r="J53" s="8"/>
      <c r="K53" s="8"/>
      <c r="L53" s="8"/>
      <c r="M53" s="8"/>
      <c r="N53" s="8"/>
    </row>
    <row r="54" spans="1:14" x14ac:dyDescent="0.2">
      <c r="A54" s="8"/>
      <c r="B54" s="41"/>
      <c r="C54" s="8"/>
      <c r="D54" s="8"/>
      <c r="E54" s="8"/>
      <c r="F54" s="8"/>
      <c r="G54" s="8"/>
      <c r="H54" s="8"/>
      <c r="I54" s="8"/>
      <c r="J54" s="8"/>
      <c r="K54" s="8"/>
      <c r="L54" s="8"/>
      <c r="M54" s="8"/>
      <c r="N54" s="8"/>
    </row>
    <row r="55" spans="1:14" x14ac:dyDescent="0.2">
      <c r="A55" s="8"/>
      <c r="B55" s="41"/>
      <c r="C55" s="8"/>
      <c r="D55" s="8"/>
      <c r="E55" s="8"/>
      <c r="F55" s="8"/>
      <c r="G55" s="8"/>
      <c r="H55" s="8"/>
      <c r="I55" s="8"/>
      <c r="J55" s="8"/>
      <c r="K55" s="8"/>
      <c r="L55" s="8"/>
      <c r="M55" s="8"/>
      <c r="N55" s="8"/>
    </row>
    <row r="56" spans="1:14" x14ac:dyDescent="0.2">
      <c r="A56" s="8"/>
      <c r="B56" s="41"/>
      <c r="C56" s="8"/>
      <c r="D56" s="8"/>
      <c r="E56" s="8"/>
      <c r="F56" s="8"/>
      <c r="G56" s="8"/>
      <c r="H56" s="8"/>
      <c r="I56" s="8"/>
      <c r="J56" s="8"/>
      <c r="K56" s="8"/>
      <c r="L56" s="8"/>
      <c r="M56" s="8"/>
      <c r="N56" s="8"/>
    </row>
    <row r="57" spans="1:14" x14ac:dyDescent="0.2">
      <c r="A57" s="8"/>
      <c r="B57" s="41"/>
      <c r="C57" s="8"/>
      <c r="D57" s="8"/>
      <c r="E57" s="8"/>
      <c r="F57" s="8"/>
      <c r="G57" s="8"/>
      <c r="H57" s="8"/>
      <c r="I57" s="8"/>
      <c r="J57" s="8"/>
      <c r="K57" s="8"/>
      <c r="L57" s="8"/>
      <c r="M57" s="8"/>
      <c r="N57" s="8"/>
    </row>
    <row r="58" spans="1:14" x14ac:dyDescent="0.2">
      <c r="A58" s="8"/>
      <c r="B58" s="41"/>
      <c r="C58" s="8"/>
      <c r="D58" s="8"/>
      <c r="E58" s="8"/>
      <c r="F58" s="8"/>
      <c r="G58" s="8"/>
      <c r="H58" s="8"/>
      <c r="I58" s="8"/>
      <c r="J58" s="8"/>
      <c r="K58" s="8"/>
      <c r="L58" s="8"/>
      <c r="M58" s="8"/>
      <c r="N58" s="8"/>
    </row>
    <row r="59" spans="1:14" x14ac:dyDescent="0.2">
      <c r="A59" s="131"/>
      <c r="B59" s="132"/>
      <c r="C59" s="132"/>
      <c r="D59" s="132"/>
      <c r="E59" s="8"/>
      <c r="F59" s="8"/>
      <c r="G59" s="8"/>
      <c r="H59" s="8"/>
      <c r="I59" s="8"/>
      <c r="J59" s="8"/>
      <c r="K59" s="8"/>
      <c r="L59" s="8"/>
      <c r="M59" s="8"/>
      <c r="N59" s="8"/>
    </row>
    <row r="60" spans="1:14" ht="11.1" customHeight="1" x14ac:dyDescent="0.2">
      <c r="A60" s="133"/>
      <c r="B60" s="134"/>
      <c r="C60" s="134"/>
      <c r="D60" s="134"/>
    </row>
    <row r="61" spans="1:14" ht="11.1" customHeight="1" x14ac:dyDescent="0.2">
      <c r="A61" s="133"/>
      <c r="B61" s="134"/>
      <c r="C61" s="134"/>
      <c r="D61" s="134"/>
    </row>
    <row r="62" spans="1:14" ht="11.1" customHeight="1" x14ac:dyDescent="0.2">
      <c r="A62" s="133"/>
      <c r="B62" s="134"/>
      <c r="C62" s="134"/>
      <c r="D62" s="134"/>
    </row>
    <row r="63" spans="1:14" ht="11.1" customHeight="1" x14ac:dyDescent="0.2">
      <c r="A63" s="133"/>
      <c r="B63" s="134"/>
      <c r="C63" s="134"/>
      <c r="D63" s="134"/>
    </row>
    <row r="64" spans="1:14" ht="11.1" customHeight="1" x14ac:dyDescent="0.2"/>
  </sheetData>
  <sheetProtection sheet="1"/>
  <mergeCells count="4">
    <mergeCell ref="H7:N7"/>
    <mergeCell ref="H14:L14"/>
    <mergeCell ref="A1:N1"/>
    <mergeCell ref="A2:N2"/>
  </mergeCells>
  <phoneticPr fontId="2" type="noConversion"/>
  <conditionalFormatting sqref="B21:D21">
    <cfRule type="cellIs" dxfId="11" priority="4" stopIfTrue="1" operator="lessThan">
      <formula>0</formula>
    </cfRule>
    <cfRule type="cellIs" dxfId="10" priority="5" stopIfTrue="1" operator="lessThan">
      <formula>0</formula>
    </cfRule>
    <cfRule type="cellIs" dxfId="9" priority="6" stopIfTrue="1" operator="lessThan">
      <formula>0</formula>
    </cfRule>
  </conditionalFormatting>
  <conditionalFormatting sqref="B22:D22">
    <cfRule type="cellIs" dxfId="8" priority="1" stopIfTrue="1" operator="lessThan">
      <formula>0</formula>
    </cfRule>
    <cfRule type="cellIs" dxfId="7" priority="2" stopIfTrue="1" operator="lessThan">
      <formula>0</formula>
    </cfRule>
    <cfRule type="cellIs" dxfId="6" priority="3" stopIfTrue="1" operator="lessThan">
      <formula>0</formula>
    </cfRule>
  </conditionalFormatting>
  <pageMargins left="0.23622047244094491" right="0.23622047244094491" top="0.55118110236220474" bottom="0.74803149606299213" header="0.31496062992125984" footer="0.31496062992125984"/>
  <pageSetup paperSize="9" scale="72" fitToHeight="0" orientation="landscape"/>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1:O65"/>
  <sheetViews>
    <sheetView topLeftCell="A25" zoomScale="75" zoomScaleNormal="75" zoomScalePageLayoutView="75" workbookViewId="0">
      <selection activeCell="B46" sqref="B46:D46"/>
    </sheetView>
  </sheetViews>
  <sheetFormatPr baseColWidth="10" defaultColWidth="11.42578125" defaultRowHeight="12.75" x14ac:dyDescent="0.2"/>
  <cols>
    <col min="1" max="1" width="33" style="5" customWidth="1"/>
    <col min="2" max="3" width="12.7109375" style="5" customWidth="1"/>
    <col min="4" max="4" width="15.42578125" style="5" customWidth="1"/>
    <col min="5" max="7" width="7.7109375" style="5" customWidth="1"/>
    <col min="8" max="8" width="21.42578125" style="59" customWidth="1"/>
    <col min="9" max="9" width="12.140625" style="5" customWidth="1"/>
    <col min="10" max="10" width="20.42578125" style="60" customWidth="1"/>
    <col min="11" max="11" width="11.42578125" style="5"/>
    <col min="12" max="12" width="9.42578125" style="5" customWidth="1"/>
    <col min="13" max="13" width="12.85546875" style="5" customWidth="1"/>
    <col min="14" max="14" width="17.28515625" style="5" customWidth="1"/>
    <col min="15" max="16384" width="11.42578125" style="5"/>
  </cols>
  <sheetData>
    <row r="1" spans="1:15" ht="25.5" customHeight="1" x14ac:dyDescent="0.2">
      <c r="A1" s="160" t="s">
        <v>80</v>
      </c>
      <c r="B1" s="160"/>
      <c r="C1" s="160"/>
      <c r="D1" s="160"/>
      <c r="E1" s="160"/>
      <c r="F1" s="160"/>
      <c r="G1" s="160"/>
      <c r="H1" s="160"/>
      <c r="I1" s="160"/>
      <c r="J1" s="160"/>
      <c r="K1" s="160"/>
      <c r="L1" s="160"/>
      <c r="M1" s="160"/>
      <c r="N1" s="160"/>
    </row>
    <row r="2" spans="1:15" ht="15.75" x14ac:dyDescent="0.25">
      <c r="A2" s="164" t="s">
        <v>101</v>
      </c>
      <c r="B2" s="164"/>
      <c r="C2" s="164"/>
      <c r="D2" s="164"/>
      <c r="E2" s="164"/>
      <c r="F2" s="164"/>
      <c r="G2" s="164"/>
      <c r="H2" s="164"/>
      <c r="I2" s="164"/>
      <c r="J2" s="164"/>
      <c r="K2" s="164"/>
      <c r="L2" s="164"/>
      <c r="M2" s="164"/>
      <c r="N2" s="164"/>
    </row>
    <row r="3" spans="1:15" ht="15" x14ac:dyDescent="0.2">
      <c r="A3" s="164" t="s">
        <v>94</v>
      </c>
      <c r="B3" s="164"/>
      <c r="C3" s="164"/>
      <c r="D3" s="164"/>
      <c r="E3" s="164"/>
      <c r="F3" s="164"/>
      <c r="G3" s="164"/>
      <c r="H3" s="164"/>
      <c r="I3" s="164"/>
      <c r="J3" s="164"/>
      <c r="K3" s="164"/>
      <c r="L3" s="164"/>
      <c r="M3" s="164"/>
      <c r="N3" s="164"/>
    </row>
    <row r="4" spans="1:15" x14ac:dyDescent="0.2">
      <c r="K4" s="8"/>
      <c r="L4" s="8"/>
      <c r="M4" s="8"/>
      <c r="N4" s="8"/>
    </row>
    <row r="5" spans="1:15" x14ac:dyDescent="0.2">
      <c r="A5" s="12"/>
      <c r="B5" s="8"/>
      <c r="C5" s="8"/>
      <c r="D5" s="8"/>
      <c r="E5" s="135" t="s">
        <v>0</v>
      </c>
      <c r="F5" s="8"/>
      <c r="G5" s="11">
        <v>0.35</v>
      </c>
      <c r="H5" s="9"/>
      <c r="I5" s="8"/>
      <c r="J5" s="10"/>
      <c r="K5" s="8"/>
      <c r="L5" s="8"/>
      <c r="M5" s="8"/>
      <c r="N5" s="8"/>
    </row>
    <row r="6" spans="1:15" x14ac:dyDescent="0.2">
      <c r="A6" s="8"/>
      <c r="B6" s="8"/>
      <c r="C6" s="8"/>
      <c r="D6" s="8"/>
      <c r="E6" s="8"/>
      <c r="F6" s="8"/>
      <c r="G6" s="8"/>
      <c r="H6" s="9"/>
      <c r="I6" s="8"/>
      <c r="J6" s="10"/>
    </row>
    <row r="7" spans="1:15" ht="13.5" thickBot="1" x14ac:dyDescent="0.25">
      <c r="A7" s="12"/>
      <c r="B7" s="13" t="s">
        <v>1</v>
      </c>
      <c r="C7" s="13" t="s">
        <v>2</v>
      </c>
      <c r="D7" s="14" t="s">
        <v>3</v>
      </c>
      <c r="E7" s="156" t="s">
        <v>53</v>
      </c>
      <c r="F7" s="157"/>
      <c r="G7" s="8"/>
      <c r="H7" s="9"/>
      <c r="I7" s="8"/>
      <c r="J7" s="10"/>
    </row>
    <row r="8" spans="1:15" x14ac:dyDescent="0.2">
      <c r="A8" s="8"/>
      <c r="B8" s="15" t="s">
        <v>4</v>
      </c>
      <c r="C8" s="15" t="s">
        <v>4</v>
      </c>
      <c r="D8" s="15" t="s">
        <v>4</v>
      </c>
      <c r="E8" s="158"/>
      <c r="F8" s="159"/>
      <c r="G8" s="8"/>
      <c r="H8" s="153" t="s">
        <v>5</v>
      </c>
      <c r="I8" s="154"/>
      <c r="J8" s="154"/>
      <c r="K8" s="154"/>
      <c r="L8" s="154"/>
      <c r="M8" s="154"/>
      <c r="N8" s="155"/>
      <c r="O8" s="29"/>
    </row>
    <row r="9" spans="1:15" s="32" customFormat="1" ht="26.25" x14ac:dyDescent="0.25">
      <c r="A9" s="16" t="s">
        <v>6</v>
      </c>
      <c r="B9" s="138">
        <f>N15</f>
        <v>152564.10181818181</v>
      </c>
      <c r="C9" s="138">
        <f>B9*2.1271</f>
        <v>324519.10097745451</v>
      </c>
      <c r="D9" s="138">
        <f>C9*1.55</f>
        <v>503004.60651505447</v>
      </c>
      <c r="E9" s="18">
        <f>C9/B9</f>
        <v>2.1271</v>
      </c>
      <c r="F9" s="18">
        <f>D9/C9</f>
        <v>1.55</v>
      </c>
      <c r="G9" s="19"/>
      <c r="H9" s="20" t="s">
        <v>36</v>
      </c>
      <c r="I9" s="21" t="s">
        <v>42</v>
      </c>
      <c r="J9" s="21" t="s">
        <v>45</v>
      </c>
      <c r="K9" s="22" t="s">
        <v>38</v>
      </c>
      <c r="L9" s="22" t="s">
        <v>40</v>
      </c>
      <c r="M9" s="15" t="s">
        <v>7</v>
      </c>
      <c r="N9" s="23" t="s">
        <v>8</v>
      </c>
      <c r="O9" s="29"/>
    </row>
    <row r="10" spans="1:15" ht="25.5" x14ac:dyDescent="0.2">
      <c r="A10" s="24" t="s">
        <v>10</v>
      </c>
      <c r="B10" s="25">
        <f>+'2-CR équilibre'!B9</f>
        <v>18000</v>
      </c>
      <c r="C10" s="25">
        <f>+'2-CR équilibre'!C9</f>
        <v>22000</v>
      </c>
      <c r="D10" s="25">
        <f>+'2-CR équilibre'!D9</f>
        <v>42000</v>
      </c>
      <c r="E10" s="18">
        <f>C10/B10</f>
        <v>1.2222222222222223</v>
      </c>
      <c r="F10" s="18">
        <f>D10/C10</f>
        <v>1.9090909090909092</v>
      </c>
      <c r="G10" s="19"/>
      <c r="H10" s="26" t="s">
        <v>37</v>
      </c>
      <c r="I10" s="27">
        <v>21</v>
      </c>
      <c r="J10" s="28">
        <v>2080</v>
      </c>
      <c r="K10" s="61">
        <f>(J10*I10)</f>
        <v>43680</v>
      </c>
      <c r="L10" s="136">
        <v>7.0000000000000007E-2</v>
      </c>
      <c r="M10" s="61">
        <f>K10+(K10*L10)</f>
        <v>46737.599999999999</v>
      </c>
      <c r="N10" s="138">
        <f>M10/(1+0.1)</f>
        <v>42488.727272727265</v>
      </c>
      <c r="O10" s="29"/>
    </row>
    <row r="11" spans="1:15" x14ac:dyDescent="0.2">
      <c r="A11" s="24" t="s">
        <v>14</v>
      </c>
      <c r="B11" s="25">
        <v>93800</v>
      </c>
      <c r="C11" s="25">
        <v>189000</v>
      </c>
      <c r="D11" s="25">
        <v>310000</v>
      </c>
      <c r="E11" s="18"/>
      <c r="F11" s="18"/>
      <c r="G11" s="12"/>
      <c r="H11" s="26" t="s">
        <v>39</v>
      </c>
      <c r="I11" s="30">
        <v>28</v>
      </c>
      <c r="J11" s="31">
        <v>460</v>
      </c>
      <c r="K11" s="61">
        <f>(J11*I11)</f>
        <v>12880</v>
      </c>
      <c r="L11" s="136">
        <v>7.0000000000000007E-2</v>
      </c>
      <c r="M11" s="61">
        <f>K11+(K11*L11)</f>
        <v>13781.6</v>
      </c>
      <c r="N11" s="138">
        <f>M11/(1+0.1)</f>
        <v>12528.727272727272</v>
      </c>
      <c r="O11" s="29"/>
    </row>
    <row r="12" spans="1:15" ht="26.25" x14ac:dyDescent="0.25">
      <c r="A12" s="16" t="s">
        <v>11</v>
      </c>
      <c r="B12" s="17">
        <f>+B9-B10-B11</f>
        <v>40764.101818181807</v>
      </c>
      <c r="C12" s="17">
        <f>+C9-C10-C11</f>
        <v>113519.10097745451</v>
      </c>
      <c r="D12" s="17">
        <f>+D9-D10-D11</f>
        <v>151004.60651505447</v>
      </c>
      <c r="E12" s="33">
        <f>B12/B9</f>
        <v>0.26719327372806484</v>
      </c>
      <c r="F12" s="33">
        <f>C12/C9</f>
        <v>0.34980714736215507</v>
      </c>
      <c r="G12" s="8"/>
      <c r="H12" s="26" t="s">
        <v>41</v>
      </c>
      <c r="I12" s="27">
        <v>27</v>
      </c>
      <c r="J12" s="28">
        <v>1440</v>
      </c>
      <c r="K12" s="61">
        <f>(J12*I12)</f>
        <v>38880</v>
      </c>
      <c r="L12" s="136">
        <v>7.0000000000000007E-2</v>
      </c>
      <c r="M12" s="61">
        <f>K12+(K12*L12)</f>
        <v>41601.599999999999</v>
      </c>
      <c r="N12" s="138">
        <f>M12/(1+0.1)</f>
        <v>37819.63636363636</v>
      </c>
      <c r="O12" s="29"/>
    </row>
    <row r="13" spans="1:15" x14ac:dyDescent="0.2">
      <c r="A13" s="24" t="s">
        <v>12</v>
      </c>
      <c r="B13" s="25">
        <f>+B46</f>
        <v>44329.599999999999</v>
      </c>
      <c r="C13" s="25">
        <f>+C46</f>
        <v>68588.110459999996</v>
      </c>
      <c r="D13" s="25">
        <f>+D46</f>
        <v>83016.221212999997</v>
      </c>
      <c r="E13" s="8"/>
      <c r="F13" s="8"/>
      <c r="G13" s="8"/>
      <c r="H13" s="26" t="s">
        <v>44</v>
      </c>
      <c r="I13" s="27">
        <v>8.34</v>
      </c>
      <c r="J13" s="34">
        <v>6240</v>
      </c>
      <c r="K13" s="61">
        <f>(J13*I13)</f>
        <v>52041.599999999999</v>
      </c>
      <c r="L13" s="136">
        <v>7.0000000000000007E-2</v>
      </c>
      <c r="M13" s="61">
        <f>K13+(K13*L13)</f>
        <v>55684.512000000002</v>
      </c>
      <c r="N13" s="138">
        <f>M13/(1+0.1)</f>
        <v>50622.283636363638</v>
      </c>
    </row>
    <row r="14" spans="1:15" x14ac:dyDescent="0.2">
      <c r="A14" s="24" t="s">
        <v>13</v>
      </c>
      <c r="B14" s="25">
        <v>3000</v>
      </c>
      <c r="C14" s="25">
        <v>4000</v>
      </c>
      <c r="D14" s="25">
        <v>5000</v>
      </c>
      <c r="E14" s="8"/>
      <c r="F14" s="8"/>
      <c r="G14" s="8"/>
      <c r="H14" s="26" t="s">
        <v>43</v>
      </c>
      <c r="I14" s="35">
        <v>9</v>
      </c>
      <c r="J14" s="36">
        <v>1040</v>
      </c>
      <c r="K14" s="61">
        <f>(J14*I14)</f>
        <v>9360</v>
      </c>
      <c r="L14" s="136">
        <v>7.0000000000000007E-2</v>
      </c>
      <c r="M14" s="61">
        <f>K14+(K14*L14)</f>
        <v>10015.200000000001</v>
      </c>
      <c r="N14" s="138">
        <f>M14/(1+0.1)</f>
        <v>9104.7272727272721</v>
      </c>
    </row>
    <row r="15" spans="1:15" ht="13.5" thickBot="1" x14ac:dyDescent="0.25">
      <c r="A15" s="24" t="s">
        <v>17</v>
      </c>
      <c r="B15" s="25">
        <f>'2-CR équilibre'!B14</f>
        <v>1842</v>
      </c>
      <c r="C15" s="25">
        <f>'2-CR équilibre'!C14</f>
        <v>1561</v>
      </c>
      <c r="D15" s="25">
        <f>'2-CR équilibre'!D14</f>
        <v>1279</v>
      </c>
      <c r="E15" s="8"/>
      <c r="F15" s="8"/>
      <c r="G15" s="8"/>
      <c r="H15" s="37" t="s">
        <v>15</v>
      </c>
      <c r="I15" s="38"/>
      <c r="J15" s="38"/>
      <c r="K15" s="38"/>
      <c r="L15" s="39"/>
      <c r="M15" s="67">
        <f>SUM(M10:M14)</f>
        <v>167820.51199999999</v>
      </c>
      <c r="N15" s="138">
        <f>SUM(N10:N14)</f>
        <v>152564.10181818181</v>
      </c>
    </row>
    <row r="16" spans="1:15" s="32" customFormat="1" x14ac:dyDescent="0.2">
      <c r="A16" s="24" t="s">
        <v>18</v>
      </c>
      <c r="B16" s="91">
        <f>'2-CR équilibre'!B15</f>
        <v>0</v>
      </c>
      <c r="C16" s="91">
        <f>'2-CR équilibre'!C15</f>
        <v>0</v>
      </c>
      <c r="D16" s="91">
        <f>'2-CR équilibre'!D15</f>
        <v>0</v>
      </c>
      <c r="E16" s="8"/>
      <c r="F16" s="8"/>
      <c r="G16" s="8"/>
      <c r="H16" s="9"/>
      <c r="I16" s="8"/>
      <c r="J16" s="10"/>
      <c r="K16" s="12"/>
      <c r="L16" s="12"/>
      <c r="M16" s="12"/>
      <c r="N16" s="12"/>
    </row>
    <row r="17" spans="1:14" ht="15.75" x14ac:dyDescent="0.25">
      <c r="A17" s="40" t="s">
        <v>19</v>
      </c>
      <c r="B17" s="70">
        <f>-SUM(B13:B16)+B12</f>
        <v>-8407.4981818181914</v>
      </c>
      <c r="C17" s="70">
        <f>-SUM(C13:C16)+C12</f>
        <v>39369.990517454513</v>
      </c>
      <c r="D17" s="70">
        <f>-SUM(D13:D16)+D12</f>
        <v>61709.385302054478</v>
      </c>
      <c r="E17" s="41"/>
      <c r="F17" s="41"/>
      <c r="G17" s="8"/>
      <c r="H17" s="9"/>
      <c r="I17" s="8"/>
      <c r="J17" s="10"/>
      <c r="K17" s="8"/>
      <c r="L17" s="8"/>
      <c r="M17" s="8"/>
      <c r="N17" s="8"/>
    </row>
    <row r="18" spans="1:14" ht="22.5" customHeight="1" x14ac:dyDescent="0.2">
      <c r="A18" s="42" t="s">
        <v>20</v>
      </c>
      <c r="B18" s="71">
        <f>B17/12</f>
        <v>-700.62484848484928</v>
      </c>
      <c r="C18" s="71">
        <f>C17/12</f>
        <v>3280.8325431212093</v>
      </c>
      <c r="D18" s="71">
        <f>D17/12</f>
        <v>5142.4487751712068</v>
      </c>
      <c r="E18" s="41"/>
      <c r="F18" s="41"/>
      <c r="G18" s="12"/>
      <c r="H18" s="43"/>
      <c r="I18" s="12"/>
      <c r="J18" s="44"/>
      <c r="K18" s="8"/>
      <c r="L18" s="8"/>
      <c r="M18" s="8"/>
      <c r="N18" s="8"/>
    </row>
    <row r="19" spans="1:14" x14ac:dyDescent="0.2">
      <c r="A19" s="24" t="s">
        <v>16</v>
      </c>
      <c r="B19" s="99">
        <f>+B20*0.5</f>
        <v>5700</v>
      </c>
      <c r="C19" s="99">
        <f>+C20*0.5</f>
        <v>9000</v>
      </c>
      <c r="D19" s="99">
        <f>+D20*0.5</f>
        <v>12500</v>
      </c>
      <c r="E19" s="12"/>
      <c r="F19" s="12"/>
      <c r="G19" s="8"/>
      <c r="H19" s="9"/>
      <c r="I19" s="8"/>
      <c r="J19" s="10"/>
      <c r="K19" s="8"/>
      <c r="L19" s="8"/>
      <c r="M19" s="8"/>
      <c r="N19" s="8"/>
    </row>
    <row r="20" spans="1:14" x14ac:dyDescent="0.2">
      <c r="A20" s="45" t="str">
        <f>'2-CR équilibre'!A19</f>
        <v>Prélèvement exploitant/AN</v>
      </c>
      <c r="B20" s="72">
        <f>+'2-CR équilibre'!B19</f>
        <v>11400</v>
      </c>
      <c r="C20" s="72">
        <f>+'2-CR équilibre'!C19</f>
        <v>18000</v>
      </c>
      <c r="D20" s="72">
        <f>+'2-CR équilibre'!D19</f>
        <v>25000</v>
      </c>
      <c r="E20" s="8"/>
      <c r="F20" s="8"/>
      <c r="G20" s="8"/>
      <c r="H20" s="9"/>
      <c r="I20" s="8"/>
      <c r="J20" s="10"/>
      <c r="K20" s="8"/>
      <c r="L20" s="8"/>
      <c r="M20" s="8"/>
      <c r="N20" s="8"/>
    </row>
    <row r="21" spans="1:14" ht="24.75" customHeight="1" x14ac:dyDescent="0.25">
      <c r="A21" s="40" t="str">
        <f>'2-CR équilibre'!A20</f>
        <v>Soit revenu mensuel</v>
      </c>
      <c r="B21" s="73">
        <f>B20/12</f>
        <v>950</v>
      </c>
      <c r="C21" s="73">
        <f>C20/12</f>
        <v>1500</v>
      </c>
      <c r="D21" s="74">
        <f>D20/12</f>
        <v>2083.3333333333335</v>
      </c>
      <c r="E21" s="8"/>
      <c r="F21" s="8"/>
      <c r="G21" s="8"/>
      <c r="H21" s="9"/>
      <c r="I21" s="8"/>
      <c r="J21" s="10"/>
      <c r="K21" s="8"/>
      <c r="L21" s="8"/>
      <c r="M21" s="8"/>
      <c r="N21" s="8"/>
    </row>
    <row r="22" spans="1:14" ht="21" thickBot="1" x14ac:dyDescent="0.35">
      <c r="A22" s="93" t="s">
        <v>64</v>
      </c>
      <c r="B22" s="75">
        <f>+B12-B13-B14-B15-B20-B19</f>
        <v>-25507.498181818191</v>
      </c>
      <c r="C22" s="75">
        <f>+C12-C13-C14-C15-C20-C19</f>
        <v>12369.990517454513</v>
      </c>
      <c r="D22" s="75">
        <f>+D12-D13-D14-D15-D20-D19</f>
        <v>24209.385302054478</v>
      </c>
      <c r="E22" s="8"/>
      <c r="F22" s="8"/>
      <c r="G22" s="8"/>
      <c r="H22" s="9"/>
      <c r="I22" s="8"/>
      <c r="J22" s="10"/>
      <c r="K22" s="8"/>
      <c r="L22" s="8"/>
      <c r="M22" s="8"/>
      <c r="N22" s="8"/>
    </row>
    <row r="23" spans="1:14" ht="16.5" thickBot="1" x14ac:dyDescent="0.3">
      <c r="A23" s="47" t="s">
        <v>65</v>
      </c>
      <c r="B23" s="75"/>
      <c r="C23" s="75">
        <f>+B22+C22</f>
        <v>-13137.507664363678</v>
      </c>
      <c r="D23" s="75">
        <f>+C23+D22</f>
        <v>11071.877637690799</v>
      </c>
      <c r="E23" s="8"/>
      <c r="F23" s="8"/>
      <c r="G23" s="8"/>
      <c r="H23" s="9"/>
      <c r="I23" s="8"/>
      <c r="J23" s="10"/>
      <c r="K23" s="8"/>
      <c r="L23" s="8"/>
      <c r="M23" s="8"/>
      <c r="N23" s="8"/>
    </row>
    <row r="24" spans="1:14" x14ac:dyDescent="0.2">
      <c r="A24" s="12"/>
      <c r="B24" s="78"/>
      <c r="C24" s="78"/>
      <c r="D24" s="78"/>
      <c r="E24" s="8"/>
      <c r="F24" s="8"/>
      <c r="G24" s="8"/>
      <c r="H24" s="9"/>
      <c r="I24" s="8"/>
      <c r="J24" s="10"/>
      <c r="K24" s="8"/>
      <c r="L24" s="8"/>
      <c r="M24" s="8"/>
      <c r="N24" s="8"/>
    </row>
    <row r="25" spans="1:14" x14ac:dyDescent="0.2">
      <c r="A25" s="12" t="s">
        <v>23</v>
      </c>
      <c r="B25" s="78"/>
      <c r="C25" s="78"/>
      <c r="D25" s="78"/>
      <c r="E25" s="8"/>
      <c r="F25" s="8"/>
      <c r="G25" s="8"/>
      <c r="H25" s="9"/>
      <c r="I25" s="8"/>
      <c r="J25" s="10"/>
      <c r="K25" s="8"/>
      <c r="L25" s="8"/>
      <c r="M25" s="8"/>
      <c r="N25" s="8"/>
    </row>
    <row r="26" spans="1:14" x14ac:dyDescent="0.2">
      <c r="A26" s="12"/>
      <c r="B26" s="79" t="s">
        <v>1</v>
      </c>
      <c r="C26" s="80" t="s">
        <v>2</v>
      </c>
      <c r="D26" s="81" t="s">
        <v>3</v>
      </c>
      <c r="E26" s="8"/>
      <c r="F26" s="8"/>
      <c r="G26" s="8"/>
      <c r="H26" s="9"/>
      <c r="I26" s="8"/>
      <c r="J26" s="10"/>
      <c r="K26" s="8"/>
      <c r="L26" s="8"/>
      <c r="M26" s="8"/>
      <c r="N26" s="8"/>
    </row>
    <row r="27" spans="1:14" x14ac:dyDescent="0.2">
      <c r="A27" s="8"/>
      <c r="B27" s="82" t="s">
        <v>4</v>
      </c>
      <c r="C27" s="83" t="s">
        <v>4</v>
      </c>
      <c r="D27" s="83" t="s">
        <v>4</v>
      </c>
      <c r="E27" s="8"/>
      <c r="F27" s="8"/>
      <c r="G27" s="52"/>
      <c r="H27" s="137"/>
      <c r="I27" s="8"/>
      <c r="J27" s="10"/>
      <c r="K27" s="8"/>
      <c r="L27" s="8"/>
      <c r="M27" s="8"/>
      <c r="N27" s="8"/>
    </row>
    <row r="28" spans="1:14" x14ac:dyDescent="0.2">
      <c r="A28" s="54" t="s">
        <v>24</v>
      </c>
      <c r="B28" s="55">
        <f>'2-CR équilibre'!B27</f>
        <v>240</v>
      </c>
      <c r="C28" s="55">
        <f>'2-CR équilibre'!C27</f>
        <v>252</v>
      </c>
      <c r="D28" s="55">
        <f>'2-CR équilibre'!D27</f>
        <v>265</v>
      </c>
      <c r="E28" s="8"/>
      <c r="F28" s="8"/>
      <c r="G28" s="8"/>
      <c r="H28" s="9"/>
      <c r="I28" s="8"/>
      <c r="J28" s="10"/>
      <c r="K28" s="8"/>
      <c r="L28" s="8"/>
      <c r="M28" s="8"/>
      <c r="N28" s="8"/>
    </row>
    <row r="29" spans="1:14" x14ac:dyDescent="0.2">
      <c r="A29" s="24" t="s">
        <v>25</v>
      </c>
      <c r="B29" s="56">
        <f>'2-CR équilibre'!B28</f>
        <v>50</v>
      </c>
      <c r="C29" s="56">
        <f>'2-CR équilibre'!C28</f>
        <v>102</v>
      </c>
      <c r="D29" s="56">
        <f>'2-CR équilibre'!D28</f>
        <v>100</v>
      </c>
      <c r="E29" s="8"/>
      <c r="F29" s="8"/>
      <c r="G29" s="8"/>
      <c r="H29" s="9"/>
      <c r="I29" s="8"/>
      <c r="J29" s="10"/>
      <c r="K29" s="8"/>
      <c r="L29" s="8"/>
      <c r="M29" s="8"/>
      <c r="N29" s="8"/>
    </row>
    <row r="30" spans="1:14" x14ac:dyDescent="0.2">
      <c r="A30" s="24" t="s">
        <v>26</v>
      </c>
      <c r="B30" s="56">
        <f>'2-CR équilibre'!B29</f>
        <v>500</v>
      </c>
      <c r="C30" s="56">
        <f>'2-CR équilibre'!C29</f>
        <v>525</v>
      </c>
      <c r="D30" s="56">
        <f>'2-CR équilibre'!D29</f>
        <v>551</v>
      </c>
      <c r="E30" s="8"/>
      <c r="F30" s="8"/>
      <c r="G30" s="8"/>
      <c r="H30" s="9"/>
      <c r="I30" s="8"/>
      <c r="J30" s="10"/>
      <c r="K30" s="8"/>
      <c r="L30" s="8"/>
      <c r="M30" s="8"/>
      <c r="N30" s="8"/>
    </row>
    <row r="31" spans="1:14" x14ac:dyDescent="0.2">
      <c r="A31" s="24" t="s">
        <v>27</v>
      </c>
      <c r="B31" s="56">
        <f>'2-CR équilibre'!B30</f>
        <v>392.10400000000004</v>
      </c>
      <c r="C31" s="56">
        <f>'2-CR équilibre'!C30</f>
        <v>834.04441840000004</v>
      </c>
      <c r="D31" s="56">
        <f>'2-CR équilibre'!D30</f>
        <v>1292.7688485200001</v>
      </c>
      <c r="E31" s="8"/>
      <c r="F31" s="8"/>
      <c r="G31" s="8"/>
      <c r="H31" s="9"/>
      <c r="I31" s="8"/>
      <c r="J31" s="10"/>
      <c r="K31" s="8"/>
      <c r="L31" s="8"/>
      <c r="M31" s="8"/>
      <c r="N31" s="8"/>
    </row>
    <row r="32" spans="1:14" x14ac:dyDescent="0.2">
      <c r="A32" s="24" t="s">
        <v>28</v>
      </c>
      <c r="B32" s="56">
        <f>'2-CR équilibre'!B31</f>
        <v>2500</v>
      </c>
      <c r="C32" s="56">
        <f>'2-CR équilibre'!C31</f>
        <v>2500</v>
      </c>
      <c r="D32" s="56">
        <f>'2-CR équilibre'!D31</f>
        <v>2500</v>
      </c>
      <c r="E32" s="8"/>
      <c r="F32" s="8"/>
      <c r="G32" s="8"/>
      <c r="H32" s="9"/>
      <c r="I32" s="8"/>
      <c r="J32" s="10"/>
      <c r="K32" s="8"/>
      <c r="L32" s="8"/>
      <c r="M32" s="8"/>
      <c r="N32" s="8"/>
    </row>
    <row r="33" spans="1:14" x14ac:dyDescent="0.2">
      <c r="A33" s="24" t="s">
        <v>29</v>
      </c>
      <c r="B33" s="56">
        <f>'2-CR équilibre'!B32</f>
        <v>0</v>
      </c>
      <c r="C33" s="56">
        <f>'2-CR équilibre'!C32</f>
        <v>0</v>
      </c>
      <c r="D33" s="56">
        <f>'2-CR équilibre'!D32</f>
        <v>0</v>
      </c>
      <c r="E33" s="8"/>
      <c r="F33" s="8"/>
      <c r="G33" s="8"/>
      <c r="H33" s="9"/>
      <c r="I33" s="8"/>
      <c r="J33" s="10"/>
      <c r="K33" s="8"/>
      <c r="L33" s="8"/>
      <c r="M33" s="8"/>
      <c r="N33" s="8"/>
    </row>
    <row r="34" spans="1:14" x14ac:dyDescent="0.2">
      <c r="A34" s="24" t="s">
        <v>30</v>
      </c>
      <c r="B34" s="56">
        <f>'2-CR équilibre'!B33</f>
        <v>6900</v>
      </c>
      <c r="C34" s="56">
        <f>'2-CR équilibre'!C33</f>
        <v>6900</v>
      </c>
      <c r="D34" s="56">
        <f>'2-CR équilibre'!D33</f>
        <v>6900</v>
      </c>
      <c r="E34" s="8"/>
      <c r="F34" s="8"/>
      <c r="G34" s="8"/>
      <c r="H34" s="9"/>
      <c r="I34" s="8"/>
      <c r="J34" s="10"/>
      <c r="K34" s="8"/>
      <c r="L34" s="8"/>
      <c r="M34" s="8"/>
      <c r="N34" s="8"/>
    </row>
    <row r="35" spans="1:14" x14ac:dyDescent="0.2">
      <c r="A35" s="57" t="s">
        <v>52</v>
      </c>
      <c r="B35" s="56">
        <f>'2-CR équilibre'!B34</f>
        <v>7767</v>
      </c>
      <c r="C35" s="56">
        <f>'2-CR équilibre'!C34</f>
        <v>14600</v>
      </c>
      <c r="D35" s="56">
        <f>'2-CR équilibre'!D34</f>
        <v>14600</v>
      </c>
      <c r="E35" s="8"/>
      <c r="F35" s="8"/>
      <c r="G35" s="8"/>
      <c r="H35" s="9"/>
      <c r="I35" s="8"/>
      <c r="J35" s="10"/>
      <c r="K35" s="8"/>
      <c r="L35" s="8"/>
      <c r="M35" s="8"/>
      <c r="N35" s="8"/>
    </row>
    <row r="36" spans="1:14" x14ac:dyDescent="0.2">
      <c r="A36" s="24" t="s">
        <v>31</v>
      </c>
      <c r="B36" s="56">
        <f>'2-CR équilibre'!B35</f>
        <v>5000</v>
      </c>
      <c r="C36" s="56">
        <f>'2-CR équilibre'!C35</f>
        <v>3000</v>
      </c>
      <c r="D36" s="56">
        <f>'2-CR équilibre'!D35</f>
        <v>2000</v>
      </c>
      <c r="E36" s="8"/>
      <c r="F36" s="8"/>
      <c r="G36" s="8"/>
      <c r="H36" s="9"/>
      <c r="I36" s="8"/>
      <c r="J36" s="10"/>
      <c r="K36" s="8"/>
      <c r="L36" s="8"/>
      <c r="M36" s="8"/>
      <c r="N36" s="8"/>
    </row>
    <row r="37" spans="1:14" x14ac:dyDescent="0.2">
      <c r="A37" s="24" t="s">
        <v>32</v>
      </c>
      <c r="B37" s="56">
        <f>'2-CR équilibre'!B36</f>
        <v>950</v>
      </c>
      <c r="C37" s="56">
        <f>'2-CR équilibre'!C36</f>
        <v>1938</v>
      </c>
      <c r="D37" s="56">
        <f>'2-CR équilibre'!D36</f>
        <v>2500</v>
      </c>
      <c r="E37" s="8"/>
      <c r="F37" s="8"/>
      <c r="G37" s="8"/>
      <c r="H37" s="9"/>
      <c r="I37" s="8"/>
      <c r="J37" s="10"/>
      <c r="K37" s="8"/>
      <c r="L37" s="8"/>
      <c r="M37" s="8"/>
      <c r="N37" s="8"/>
    </row>
    <row r="38" spans="1:14" x14ac:dyDescent="0.2">
      <c r="A38" s="57" t="s">
        <v>46</v>
      </c>
      <c r="B38" s="56">
        <f>'2-CR équilibre'!B37</f>
        <v>4050</v>
      </c>
      <c r="C38" s="56">
        <f>'2-CR équilibre'!C37</f>
        <v>7500</v>
      </c>
      <c r="D38" s="56">
        <f>'2-CR équilibre'!D37</f>
        <v>7800</v>
      </c>
      <c r="E38" s="8"/>
      <c r="F38" s="8"/>
      <c r="G38" s="8"/>
      <c r="H38" s="9"/>
      <c r="I38" s="8"/>
      <c r="J38" s="10"/>
      <c r="K38" s="8"/>
      <c r="L38" s="8"/>
      <c r="M38" s="8"/>
      <c r="N38" s="8"/>
    </row>
    <row r="39" spans="1:14" x14ac:dyDescent="0.2">
      <c r="A39" s="57" t="s">
        <v>49</v>
      </c>
      <c r="B39" s="56">
        <f>'2-CR équilibre'!B38</f>
        <v>2070</v>
      </c>
      <c r="C39" s="56">
        <f>'2-CR équilibre'!C38</f>
        <v>4500</v>
      </c>
      <c r="D39" s="56">
        <f>'2-CR équilibre'!D38</f>
        <v>5800</v>
      </c>
      <c r="E39" s="8"/>
      <c r="F39" s="8"/>
      <c r="G39" s="8"/>
      <c r="H39" s="9"/>
      <c r="I39" s="8"/>
      <c r="J39" s="10"/>
      <c r="K39" s="8"/>
      <c r="L39" s="8"/>
      <c r="M39" s="8"/>
      <c r="N39" s="8"/>
    </row>
    <row r="40" spans="1:14" x14ac:dyDescent="0.2">
      <c r="A40" s="57" t="s">
        <v>47</v>
      </c>
      <c r="B40" s="56">
        <f>'2-CR équilibre'!B39</f>
        <v>500</v>
      </c>
      <c r="C40" s="56">
        <f>'2-CR équilibre'!C39</f>
        <v>1020</v>
      </c>
      <c r="D40" s="56">
        <f>'2-CR équilibre'!D39</f>
        <v>1581</v>
      </c>
      <c r="E40" s="8"/>
      <c r="F40" s="8"/>
      <c r="G40" s="8"/>
      <c r="H40" s="9"/>
      <c r="I40" s="8"/>
      <c r="J40" s="10"/>
      <c r="K40" s="8"/>
      <c r="L40" s="8"/>
      <c r="M40" s="8"/>
      <c r="N40" s="8"/>
    </row>
    <row r="41" spans="1:14" x14ac:dyDescent="0.2">
      <c r="A41" s="57" t="s">
        <v>48</v>
      </c>
      <c r="B41" s="56">
        <f>'2-CR équilibre'!B40</f>
        <v>2000</v>
      </c>
      <c r="C41" s="56">
        <f>'2-CR équilibre'!C40</f>
        <v>2000</v>
      </c>
      <c r="D41" s="56">
        <f>'2-CR équilibre'!D40</f>
        <v>2000</v>
      </c>
      <c r="E41" s="8"/>
      <c r="F41" s="8"/>
      <c r="G41" s="8"/>
      <c r="H41" s="9"/>
      <c r="I41" s="8"/>
      <c r="J41" s="10"/>
      <c r="K41" s="8"/>
      <c r="L41" s="8"/>
      <c r="M41" s="8"/>
      <c r="N41" s="8"/>
    </row>
    <row r="42" spans="1:14" x14ac:dyDescent="0.2">
      <c r="A42" s="57" t="s">
        <v>51</v>
      </c>
      <c r="B42" s="56">
        <f>'2-CR équilibre'!B41</f>
        <v>1568.4160000000002</v>
      </c>
      <c r="C42" s="56">
        <f>'2-CR équilibre'!C41</f>
        <v>3336.1776736000002</v>
      </c>
      <c r="D42" s="56">
        <f>'2-CR équilibre'!D41</f>
        <v>5171.0753940800005</v>
      </c>
      <c r="E42" s="8"/>
      <c r="F42" s="8"/>
      <c r="G42" s="8"/>
      <c r="H42" s="9"/>
      <c r="I42" s="8"/>
      <c r="J42" s="10"/>
      <c r="K42" s="8"/>
      <c r="L42" s="8"/>
      <c r="M42" s="8"/>
      <c r="N42" s="8"/>
    </row>
    <row r="43" spans="1:14" x14ac:dyDescent="0.2">
      <c r="A43" s="57" t="s">
        <v>50</v>
      </c>
      <c r="B43" s="56">
        <f>'2-CR équilibre'!B42</f>
        <v>7842.0800000000008</v>
      </c>
      <c r="C43" s="56">
        <f>'2-CR équilibre'!C42</f>
        <v>16680.888368</v>
      </c>
      <c r="D43" s="56">
        <f>'2-CR équilibre'!D42</f>
        <v>25855.376970400001</v>
      </c>
      <c r="E43" s="8"/>
      <c r="F43" s="8"/>
      <c r="G43" s="8"/>
      <c r="H43" s="9"/>
      <c r="I43" s="8"/>
      <c r="J43" s="10"/>
      <c r="K43" s="8"/>
      <c r="L43" s="8"/>
      <c r="M43" s="8"/>
      <c r="N43" s="8"/>
    </row>
    <row r="44" spans="1:14" x14ac:dyDescent="0.2">
      <c r="A44" s="24" t="s">
        <v>33</v>
      </c>
      <c r="B44" s="56">
        <f>'2-CR équilibre'!B43</f>
        <v>2000</v>
      </c>
      <c r="C44" s="56">
        <f>'2-CR équilibre'!C43</f>
        <v>2900</v>
      </c>
      <c r="D44" s="56">
        <f>'2-CR équilibre'!D43</f>
        <v>4100</v>
      </c>
      <c r="E44" s="8"/>
      <c r="F44" s="8"/>
      <c r="G44" s="8"/>
      <c r="H44" s="9"/>
      <c r="I44" s="8"/>
      <c r="J44" s="10"/>
      <c r="K44" s="8"/>
      <c r="L44" s="8"/>
      <c r="M44" s="8"/>
      <c r="N44" s="8"/>
    </row>
    <row r="45" spans="1:14" x14ac:dyDescent="0.2">
      <c r="A45" s="24" t="s">
        <v>34</v>
      </c>
      <c r="B45" s="56">
        <f>'2-CR équilibre'!B44</f>
        <v>0</v>
      </c>
      <c r="C45" s="56">
        <f>'2-CR équilibre'!C44</f>
        <v>0</v>
      </c>
      <c r="D45" s="56">
        <f>'2-CR équilibre'!D44</f>
        <v>0</v>
      </c>
      <c r="E45" s="8"/>
      <c r="F45" s="8"/>
      <c r="G45" s="8"/>
      <c r="H45" s="9"/>
      <c r="I45" s="8"/>
      <c r="J45" s="10"/>
      <c r="K45" s="8"/>
      <c r="L45" s="8"/>
      <c r="M45" s="8"/>
      <c r="N45" s="8"/>
    </row>
    <row r="46" spans="1:14" x14ac:dyDescent="0.2">
      <c r="A46" s="58" t="s">
        <v>35</v>
      </c>
      <c r="B46" s="84">
        <f>SUM(B28:B45)</f>
        <v>44329.599999999999</v>
      </c>
      <c r="C46" s="84">
        <f>SUM(C28:C45)</f>
        <v>68588.110459999996</v>
      </c>
      <c r="D46" s="84">
        <f>SUM(D28:D45)</f>
        <v>83016.221212999997</v>
      </c>
      <c r="E46" s="8"/>
      <c r="F46" s="8"/>
      <c r="G46" s="8"/>
      <c r="H46" s="9"/>
      <c r="I46" s="8"/>
      <c r="J46" s="10"/>
      <c r="K46" s="8"/>
      <c r="L46" s="8"/>
      <c r="M46" s="8"/>
      <c r="N46" s="8"/>
    </row>
    <row r="47" spans="1:14" x14ac:dyDescent="0.2">
      <c r="A47" s="8"/>
      <c r="B47" s="41"/>
      <c r="C47" s="8"/>
      <c r="D47" s="8"/>
      <c r="E47" s="8"/>
      <c r="F47" s="8"/>
      <c r="G47" s="8"/>
      <c r="H47" s="9"/>
      <c r="I47" s="8"/>
      <c r="J47" s="10"/>
      <c r="K47" s="8"/>
      <c r="L47" s="8"/>
      <c r="M47" s="8"/>
      <c r="N47" s="8"/>
    </row>
    <row r="48" spans="1:14" x14ac:dyDescent="0.2">
      <c r="A48" s="8"/>
      <c r="B48" s="41"/>
      <c r="C48" s="8"/>
      <c r="D48" s="8"/>
      <c r="E48" s="8"/>
      <c r="F48" s="8"/>
      <c r="G48" s="8"/>
      <c r="H48" s="9"/>
      <c r="I48" s="8"/>
      <c r="J48" s="10"/>
      <c r="K48" s="8"/>
      <c r="L48" s="8"/>
      <c r="M48" s="8"/>
      <c r="N48" s="8"/>
    </row>
    <row r="49" spans="1:14" x14ac:dyDescent="0.2">
      <c r="A49" s="8"/>
      <c r="B49" s="41"/>
      <c r="C49" s="8"/>
      <c r="D49" s="8"/>
      <c r="E49" s="8"/>
      <c r="F49" s="8"/>
      <c r="G49" s="8"/>
      <c r="H49" s="9"/>
      <c r="I49" s="8"/>
      <c r="J49" s="10"/>
      <c r="K49" s="8"/>
      <c r="L49" s="8"/>
      <c r="M49" s="8"/>
      <c r="N49" s="8"/>
    </row>
    <row r="50" spans="1:14" x14ac:dyDescent="0.2">
      <c r="A50" s="8"/>
      <c r="B50" s="41"/>
      <c r="C50" s="8"/>
      <c r="D50" s="8"/>
      <c r="E50" s="8"/>
      <c r="F50" s="8"/>
      <c r="G50" s="8"/>
      <c r="H50" s="9"/>
      <c r="I50" s="8"/>
      <c r="J50" s="10"/>
      <c r="K50" s="8"/>
      <c r="L50" s="8"/>
      <c r="M50" s="8"/>
      <c r="N50" s="8"/>
    </row>
    <row r="51" spans="1:14" x14ac:dyDescent="0.2">
      <c r="A51" s="8"/>
      <c r="B51" s="41"/>
      <c r="C51" s="8"/>
      <c r="D51" s="8"/>
      <c r="E51" s="8"/>
      <c r="F51" s="8"/>
      <c r="G51" s="8"/>
      <c r="H51" s="9"/>
      <c r="I51" s="8"/>
      <c r="J51" s="10"/>
      <c r="K51" s="8"/>
      <c r="L51" s="8"/>
      <c r="M51" s="8"/>
      <c r="N51" s="8"/>
    </row>
    <row r="52" spans="1:14" x14ac:dyDescent="0.2">
      <c r="A52" s="8"/>
      <c r="B52" s="41"/>
      <c r="C52" s="8"/>
      <c r="D52" s="8"/>
      <c r="E52" s="8"/>
      <c r="F52" s="8"/>
      <c r="G52" s="8"/>
      <c r="H52" s="9"/>
      <c r="I52" s="8"/>
      <c r="J52" s="10"/>
      <c r="K52" s="8"/>
      <c r="L52" s="8"/>
      <c r="M52" s="8"/>
      <c r="N52" s="8"/>
    </row>
    <row r="53" spans="1:14" x14ac:dyDescent="0.2">
      <c r="A53" s="8"/>
      <c r="B53" s="41"/>
      <c r="C53" s="8"/>
      <c r="D53" s="8"/>
      <c r="E53" s="8"/>
      <c r="F53" s="8"/>
      <c r="G53" s="8"/>
      <c r="H53" s="9"/>
      <c r="I53" s="8"/>
      <c r="J53" s="10"/>
      <c r="K53" s="8"/>
      <c r="L53" s="8"/>
      <c r="M53" s="8"/>
      <c r="N53" s="8"/>
    </row>
    <row r="54" spans="1:14" x14ac:dyDescent="0.2">
      <c r="A54" s="8"/>
      <c r="B54" s="41"/>
      <c r="C54" s="8"/>
      <c r="D54" s="8"/>
      <c r="E54" s="8"/>
      <c r="F54" s="8"/>
      <c r="G54" s="8"/>
      <c r="H54" s="9"/>
      <c r="I54" s="8"/>
      <c r="J54" s="10"/>
      <c r="K54" s="8"/>
      <c r="L54" s="8"/>
      <c r="M54" s="8"/>
      <c r="N54" s="8"/>
    </row>
    <row r="55" spans="1:14" x14ac:dyDescent="0.2">
      <c r="A55" s="8"/>
      <c r="B55" s="41"/>
      <c r="C55" s="8"/>
      <c r="D55" s="8"/>
      <c r="E55" s="8"/>
      <c r="F55" s="8"/>
      <c r="G55" s="8"/>
      <c r="H55" s="9"/>
      <c r="I55" s="8"/>
      <c r="J55" s="10"/>
      <c r="K55" s="8"/>
      <c r="L55" s="8"/>
      <c r="M55" s="8"/>
      <c r="N55" s="8"/>
    </row>
    <row r="56" spans="1:14" x14ac:dyDescent="0.2">
      <c r="A56" s="8"/>
      <c r="B56" s="41"/>
      <c r="C56" s="8"/>
      <c r="D56" s="8"/>
      <c r="E56" s="8"/>
      <c r="F56" s="8"/>
      <c r="G56" s="8"/>
      <c r="H56" s="9"/>
      <c r="I56" s="8"/>
      <c r="J56" s="10"/>
      <c r="K56" s="8"/>
      <c r="L56" s="8"/>
      <c r="M56" s="8"/>
      <c r="N56" s="8"/>
    </row>
    <row r="57" spans="1:14" x14ac:dyDescent="0.2">
      <c r="A57" s="8"/>
      <c r="B57" s="41"/>
      <c r="C57" s="8"/>
      <c r="D57" s="8"/>
      <c r="E57" s="8"/>
      <c r="F57" s="8"/>
      <c r="G57" s="8"/>
      <c r="H57" s="9"/>
      <c r="I57" s="8"/>
      <c r="J57" s="10"/>
      <c r="K57" s="8"/>
      <c r="L57" s="8"/>
      <c r="M57" s="8"/>
      <c r="N57" s="8"/>
    </row>
    <row r="58" spans="1:14" x14ac:dyDescent="0.2">
      <c r="A58" s="8"/>
      <c r="B58" s="41"/>
      <c r="C58" s="8"/>
      <c r="D58" s="8"/>
      <c r="E58" s="8"/>
      <c r="F58" s="8"/>
      <c r="G58" s="8"/>
      <c r="H58" s="9"/>
      <c r="I58" s="8"/>
      <c r="J58" s="10"/>
      <c r="K58" s="8"/>
      <c r="L58" s="8"/>
      <c r="M58" s="8"/>
      <c r="N58" s="8"/>
    </row>
    <row r="59" spans="1:14" x14ac:dyDescent="0.2">
      <c r="A59" s="8"/>
      <c r="B59" s="41"/>
      <c r="C59" s="8"/>
      <c r="D59" s="8"/>
      <c r="E59" s="8"/>
      <c r="F59" s="8"/>
      <c r="G59" s="8"/>
      <c r="H59" s="9"/>
      <c r="I59" s="8"/>
      <c r="J59" s="10"/>
      <c r="K59" s="8"/>
      <c r="L59" s="8"/>
      <c r="M59" s="8"/>
      <c r="N59" s="8"/>
    </row>
    <row r="60" spans="1:14" x14ac:dyDescent="0.2">
      <c r="A60" s="8"/>
      <c r="B60" s="41"/>
      <c r="C60" s="8"/>
      <c r="D60" s="8"/>
      <c r="E60" s="8"/>
      <c r="F60" s="8"/>
      <c r="G60" s="8"/>
      <c r="H60" s="9"/>
      <c r="I60" s="8"/>
      <c r="J60" s="10"/>
      <c r="K60" s="8"/>
      <c r="L60" s="8"/>
      <c r="M60" s="8"/>
      <c r="N60" s="8"/>
    </row>
    <row r="61" spans="1:14" x14ac:dyDescent="0.2">
      <c r="A61" s="8"/>
      <c r="B61" s="41"/>
      <c r="C61" s="8"/>
      <c r="D61" s="8"/>
      <c r="E61" s="8"/>
      <c r="F61" s="8"/>
      <c r="G61" s="8"/>
      <c r="H61" s="9"/>
      <c r="I61" s="8"/>
      <c r="J61" s="10"/>
      <c r="K61" s="8"/>
      <c r="L61" s="8"/>
      <c r="M61" s="8"/>
      <c r="N61" s="8"/>
    </row>
    <row r="62" spans="1:14" x14ac:dyDescent="0.2">
      <c r="A62" s="8"/>
      <c r="B62" s="41"/>
      <c r="C62" s="8"/>
      <c r="D62" s="8"/>
      <c r="E62" s="8"/>
      <c r="F62" s="8"/>
      <c r="G62" s="8"/>
      <c r="H62" s="9"/>
      <c r="I62" s="8"/>
      <c r="J62" s="10"/>
      <c r="K62" s="8"/>
      <c r="L62" s="8"/>
      <c r="M62" s="8"/>
      <c r="N62" s="8"/>
    </row>
    <row r="63" spans="1:14" x14ac:dyDescent="0.2">
      <c r="A63" s="8"/>
      <c r="B63" s="41"/>
      <c r="C63" s="8"/>
      <c r="D63" s="8"/>
      <c r="E63" s="8"/>
      <c r="F63" s="8"/>
      <c r="G63" s="8"/>
      <c r="H63" s="9"/>
      <c r="I63" s="8"/>
      <c r="J63" s="10"/>
    </row>
    <row r="64" spans="1:14" x14ac:dyDescent="0.2">
      <c r="E64" s="8"/>
      <c r="F64" s="8"/>
      <c r="G64" s="8"/>
      <c r="H64" s="9"/>
      <c r="I64" s="8"/>
      <c r="J64" s="10"/>
    </row>
    <row r="65" spans="5:6" x14ac:dyDescent="0.2">
      <c r="E65" s="8"/>
      <c r="F65" s="8"/>
    </row>
  </sheetData>
  <sheetProtection sheet="1"/>
  <mergeCells count="6">
    <mergeCell ref="E7:F7"/>
    <mergeCell ref="E8:F8"/>
    <mergeCell ref="A1:N1"/>
    <mergeCell ref="A2:N2"/>
    <mergeCell ref="A3:N3"/>
    <mergeCell ref="H8:N8"/>
  </mergeCells>
  <conditionalFormatting sqref="B22:D22">
    <cfRule type="cellIs" dxfId="5" priority="4" stopIfTrue="1" operator="lessThan">
      <formula>0</formula>
    </cfRule>
    <cfRule type="cellIs" dxfId="4" priority="5" stopIfTrue="1" operator="lessThan">
      <formula>0</formula>
    </cfRule>
    <cfRule type="cellIs" dxfId="3" priority="6" stopIfTrue="1" operator="lessThan">
      <formula>0</formula>
    </cfRule>
  </conditionalFormatting>
  <conditionalFormatting sqref="B23:D23">
    <cfRule type="cellIs" dxfId="2" priority="1" stopIfTrue="1" operator="lessThan">
      <formula>0</formula>
    </cfRule>
    <cfRule type="cellIs" dxfId="1" priority="2" stopIfTrue="1" operator="lessThan">
      <formula>0</formula>
    </cfRule>
    <cfRule type="cellIs" dxfId="0" priority="3" stopIfTrue="1" operator="lessThan">
      <formula>0</formula>
    </cfRule>
  </conditionalFormatting>
  <pageMargins left="0.39370078740157483" right="0.39370078740157483" top="0.39370078740157483" bottom="0.39370078740157483" header="0.51181102362204722" footer="0.51181102362204722"/>
  <pageSetup paperSize="9" scale="70" orientation="landscape"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PAGE PRESENTATION</vt:lpstr>
      <vt:lpstr>Notice d'utilisation</vt:lpstr>
      <vt:lpstr>2-CR équilibre</vt:lpstr>
      <vt:lpstr>3-Baisse CA en volume</vt:lpstr>
      <vt:lpstr>4-Baisse CA due à hausse prix</vt:lpstr>
      <vt:lpstr>5-Baisse marge augmentat° SMIC</vt:lpstr>
      <vt:lpstr>6-Augm charges fixes ne  agence</vt:lpstr>
      <vt:lpstr>7-Scénario catastrophe</vt:lpstr>
      <vt:lpstr>8-Augmentation Tx TVA</vt:lpstr>
      <vt:lpstr>'Notice d''utilisation'!Zone_d_impression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IEDV</dc:creator>
  <cp:lastModifiedBy>HAVARD Floriane</cp:lastModifiedBy>
  <cp:lastPrinted>2013-01-09T08:25:01Z</cp:lastPrinted>
  <dcterms:created xsi:type="dcterms:W3CDTF">2007-09-17T06:50:04Z</dcterms:created>
  <dcterms:modified xsi:type="dcterms:W3CDTF">2014-12-19T11:04:02Z</dcterms:modified>
</cp:coreProperties>
</file>